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3"/>
  </bookViews>
  <sheets>
    <sheet name="Summary" sheetId="1" r:id="rId1"/>
    <sheet name="Hydraulic" sheetId="2" r:id="rId2"/>
    <sheet name="Fuel" sheetId="3" r:id="rId3"/>
    <sheet name="Load" sheetId="4" r:id="rId4"/>
  </sheets>
  <definedNames>
    <definedName name="_xlnm.Print_Area" localSheetId="2">'Fuel'!$A$1:$T$52</definedName>
    <definedName name="_xlnm.Print_Area" localSheetId="1">'Hydraulic'!$A$1:$T$40</definedName>
    <definedName name="_xlnm.Print_Area" localSheetId="0">'Summary'!$A$1:$Q$82</definedName>
  </definedNames>
  <calcPr fullCalcOnLoad="1"/>
</workbook>
</file>

<file path=xl/sharedStrings.xml><?xml version="1.0" encoding="utf-8"?>
<sst xmlns="http://schemas.openxmlformats.org/spreadsheetml/2006/main" count="422" uniqueCount="117">
  <si>
    <t>Newfoundland and Labrador Hydro</t>
  </si>
  <si>
    <t>Rate Stabilization Plan</t>
  </si>
  <si>
    <t>Summary Report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</si>
  <si>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</si>
  <si>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</si>
  <si>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</si>
  <si>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</si>
  <si>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</si>
  <si>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</si>
  <si>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</si>
  <si>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</si>
  <si>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</si>
  <si>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</si>
  <si>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</si>
  <si>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</si>
  <si>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HYDRO THERMAL SPLIT</t>
  </si>
  <si>
    <t>1992  COST OF SERVICE</t>
  </si>
  <si>
    <t>BDE</t>
  </si>
  <si>
    <t>HLK</t>
  </si>
  <si>
    <t>USL</t>
  </si>
  <si>
    <t>CAT</t>
  </si>
  <si>
    <t>PDR</t>
  </si>
  <si>
    <t>TOTAL</t>
  </si>
  <si>
    <t>Monthly</t>
  </si>
  <si>
    <t>Variance</t>
  </si>
  <si>
    <t xml:space="preserve">Efficiency </t>
  </si>
  <si>
    <t>Factor</t>
  </si>
  <si>
    <t>COS</t>
  </si>
  <si>
    <t>Fuel $</t>
  </si>
  <si>
    <t>Cost</t>
  </si>
  <si>
    <t>Fuel Variation</t>
  </si>
  <si>
    <t>Emergency</t>
  </si>
  <si>
    <t>Gas</t>
  </si>
  <si>
    <t>Hawke's</t>
  </si>
  <si>
    <t xml:space="preserve">Rounded </t>
  </si>
  <si>
    <t>Rounded</t>
  </si>
  <si>
    <t>Bunker C</t>
  </si>
  <si>
    <t>Energy</t>
  </si>
  <si>
    <t>Southside</t>
  </si>
  <si>
    <t>Turbine</t>
  </si>
  <si>
    <t>Bay</t>
  </si>
  <si>
    <t>Barrels</t>
  </si>
  <si>
    <t>1992 COS</t>
  </si>
  <si>
    <t>Price</t>
  </si>
  <si>
    <t>Fuel</t>
  </si>
  <si>
    <t>Total  $</t>
  </si>
  <si>
    <t>Fuel Cost</t>
  </si>
  <si>
    <t>Variation</t>
  </si>
  <si>
    <t>Efficiency</t>
  </si>
  <si>
    <t>Rate</t>
  </si>
  <si>
    <t>Firm Energy Sales</t>
  </si>
  <si>
    <t>Utility</t>
  </si>
  <si>
    <t>Secondary Energy Sales</t>
  </si>
  <si>
    <t>Newfoundland Power</t>
  </si>
  <si>
    <t>Abitibi-Price GF</t>
  </si>
  <si>
    <t>1st block</t>
  </si>
  <si>
    <t>2nd block</t>
  </si>
  <si>
    <t>Abitibi-Price Stephenville</t>
  </si>
  <si>
    <t>Deer Lake Power</t>
  </si>
  <si>
    <t>Corner Brook</t>
  </si>
  <si>
    <t>Albright &amp; Wilson</t>
  </si>
  <si>
    <t>North Atlantic Refining</t>
  </si>
  <si>
    <t>Royal Oak Mines</t>
  </si>
  <si>
    <t xml:space="preserve"> </t>
  </si>
  <si>
    <t>Total</t>
  </si>
  <si>
    <t>Load kWhrs</t>
  </si>
  <si>
    <t>COS 1992 kWhrs</t>
  </si>
  <si>
    <t>Variation kWhrs</t>
  </si>
  <si>
    <t>Fuel Price</t>
  </si>
  <si>
    <t>per  kWh</t>
  </si>
  <si>
    <t>Difference</t>
  </si>
  <si>
    <t>Diff  Round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</si>
  <si>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</si>
  <si>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</si>
  <si>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</si>
  <si>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</si>
  <si>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</si>
  <si>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</si>
  <si>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</si>
  <si>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</si>
  <si>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</si>
  <si>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</si>
  <si>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</si>
  <si>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</si>
  <si>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Industrial</t>
  </si>
  <si>
    <t>Revenue</t>
  </si>
  <si>
    <t>Mill rate</t>
  </si>
  <si>
    <t xml:space="preserve">Revenue </t>
  </si>
  <si>
    <t>Refunded (Recovery) Costs</t>
  </si>
  <si>
    <t>Load Variation Cost</t>
  </si>
  <si>
    <t>Interest</t>
  </si>
  <si>
    <t>To Date</t>
  </si>
  <si>
    <t>Production</t>
  </si>
  <si>
    <t>Firm</t>
  </si>
  <si>
    <t>Load Varaition</t>
  </si>
  <si>
    <t>Secondary</t>
  </si>
  <si>
    <t>Hydraulic Variation</t>
  </si>
  <si>
    <t>revised</t>
  </si>
  <si>
    <t>Recovery</t>
  </si>
  <si>
    <t>Labrador Interconnected</t>
  </si>
  <si>
    <t>Labrador</t>
  </si>
  <si>
    <t>Interconnected</t>
  </si>
  <si>
    <t>Rural Rate Alteration</t>
  </si>
  <si>
    <t>Total To Date</t>
  </si>
  <si>
    <t>Due From (To)</t>
  </si>
  <si>
    <t>Customers</t>
  </si>
  <si>
    <t>Balance</t>
  </si>
  <si>
    <t>Rural</t>
  </si>
  <si>
    <t>rounding to G/L</t>
  </si>
  <si>
    <t xml:space="preserve">                      </t>
  </si>
  <si>
    <t>2001</t>
  </si>
  <si>
    <t>Forecast 2001</t>
  </si>
  <si>
    <t>Forecast</t>
  </si>
  <si>
    <t>Actual 2000</t>
  </si>
  <si>
    <t>interest rate  8.40% annually @  8.11% monthly</t>
  </si>
  <si>
    <t>adjustment</t>
  </si>
  <si>
    <t>Water Variation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</si>
</sst>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"/>
    <numFmt numFmtId="166" formatCode="dd\-mmm\-yy_)"/>
    <numFmt numFmtId="167" formatCode="hh:mm\ AM/PM_)"/>
    <numFmt numFmtId="168" formatCode="0.00000"/>
    <numFmt numFmtId="169" formatCode="0.0000"/>
    <numFmt numFmtId="170" formatCode="0.0"/>
    <numFmt numFmtId="171" formatCode="#,##0.0_);[Red]\(#,##0.0\)"/>
    <numFmt numFmtId="172" formatCode="#,##0.000_);[Red]\(#,##0.000\)"/>
    <numFmt numFmtId="173" formatCode="#,##0.0000_);[Red]\(#,##0.0000\)"/>
    <numFmt numFmtId="174" formatCode="#,##0.00000_);[Red]\(#,##0.00000\)"/>
    <numFmt numFmtId="175" formatCode="0.000000"/>
    <numFmt numFmtId="176" formatCode="0_)"/>
    <numFmt numFmtId="177" formatCode="00000"/>
    <numFmt numFmtId="178" formatCode="0.0000%"/>
    <numFmt numFmtId="179" formatCode="0.0000_);[Red]\(0.0000\)"/>
    <numFmt numFmtId="180" formatCode="0.000000_);[Red]\(0.000000\)"/>
    <numFmt numFmtId="181" formatCode="#,##0.000000_);[Red]\(#,##0.000000\)"/>
    <numFmt numFmtId="182" formatCode="dd\-mmm\-yy"/>
    <numFmt numFmtId="183" formatCode="#,##0.0000_);\(#,##0.0000\)"/>
    <numFmt numFmtId="184" formatCode="#,##0.000_);\(#,##0.000\)"/>
    <numFmt numFmtId="185" formatCode="0.00_);\(0.00\)"/>
    <numFmt numFmtId="186" formatCode="0.000000_);\(0.000000\)"/>
    <numFmt numFmtId="187" formatCode="#,##0.00000_);\(#,##0.00000\)"/>
    <numFmt numFmtId="188" formatCode="#,##0.000000_);\(#,##0.000000\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8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0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"/>
      <protection/>
    </xf>
    <xf numFmtId="39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9" fontId="2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 horizontal="centerContinuous"/>
    </xf>
    <xf numFmtId="39" fontId="2" fillId="0" borderId="0" xfId="0" applyNumberFormat="1" applyFont="1" applyAlignment="1">
      <alignment/>
    </xf>
    <xf numFmtId="39" fontId="1" fillId="0" borderId="2" xfId="0" applyNumberFormat="1" applyFont="1" applyBorder="1" applyAlignment="1">
      <alignment horizontal="center"/>
    </xf>
    <xf numFmtId="39" fontId="1" fillId="0" borderId="2" xfId="0" applyNumberFormat="1" applyFont="1" applyBorder="1" applyAlignment="1">
      <alignment horizontal="centerContinuous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 applyProtection="1">
      <alignment horizontal="center"/>
      <protection/>
    </xf>
    <xf numFmtId="39" fontId="1" fillId="0" borderId="3" xfId="0" applyNumberFormat="1" applyFont="1" applyBorder="1" applyAlignment="1">
      <alignment/>
    </xf>
    <xf numFmtId="39" fontId="1" fillId="0" borderId="4" xfId="0" applyNumberFormat="1" applyFont="1" applyBorder="1" applyAlignment="1">
      <alignment/>
    </xf>
    <xf numFmtId="39" fontId="1" fillId="0" borderId="5" xfId="0" applyNumberFormat="1" applyFont="1" applyBorder="1" applyAlignment="1">
      <alignment/>
    </xf>
    <xf numFmtId="39" fontId="1" fillId="0" borderId="0" xfId="0" applyNumberFormat="1" applyFont="1" applyAlignment="1" applyProtection="1">
      <alignment/>
      <protection/>
    </xf>
    <xf numFmtId="39" fontId="1" fillId="0" borderId="1" xfId="0" applyNumberFormat="1" applyFont="1" applyBorder="1" applyAlignment="1">
      <alignment/>
    </xf>
    <xf numFmtId="182" fontId="1" fillId="0" borderId="0" xfId="0" applyNumberFormat="1" applyFont="1" applyAlignment="1" applyProtection="1">
      <alignment/>
      <protection/>
    </xf>
    <xf numFmtId="18" fontId="1" fillId="0" borderId="0" xfId="0" applyNumberFormat="1" applyFont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39" fontId="1" fillId="0" borderId="6" xfId="0" applyNumberFormat="1" applyFont="1" applyBorder="1" applyAlignment="1" applyProtection="1">
      <alignment/>
      <protection/>
    </xf>
    <xf numFmtId="39" fontId="2" fillId="0" borderId="0" xfId="0" applyNumberFormat="1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4" xfId="0" applyNumberFormat="1" applyFont="1" applyBorder="1" applyAlignment="1">
      <alignment/>
    </xf>
    <xf numFmtId="37" fontId="0" fillId="0" borderId="0" xfId="0" applyNumberFormat="1" applyAlignment="1">
      <alignment/>
    </xf>
    <xf numFmtId="37" fontId="1" fillId="0" borderId="3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"/>
    </xf>
    <xf numFmtId="183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39" fontId="1" fillId="0" borderId="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183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183" fontId="1" fillId="0" borderId="0" xfId="0" applyNumberFormat="1" applyFont="1" applyAlignment="1" applyProtection="1">
      <alignment horizontal="center"/>
      <protection/>
    </xf>
    <xf numFmtId="183" fontId="1" fillId="0" borderId="0" xfId="0" applyNumberFormat="1" applyFont="1" applyAlignment="1">
      <alignment horizontal="center"/>
    </xf>
    <xf numFmtId="4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>
      <selection activeCell="E5" sqref="E5"/>
    </sheetView>
  </sheetViews>
  <sheetFormatPr defaultColWidth="9.140625" defaultRowHeight="12.75"/>
  <cols>
    <col min="1" max="1" width="9.140625" style="19" customWidth="1"/>
    <col min="2" max="2" width="2.7109375" style="19" customWidth="1"/>
    <col min="3" max="5" width="13.7109375" style="19" customWidth="1"/>
    <col min="6" max="6" width="2.7109375" style="19" customWidth="1"/>
    <col min="7" max="9" width="13.7109375" style="19" customWidth="1"/>
    <col min="10" max="10" width="2.7109375" style="19" customWidth="1"/>
    <col min="11" max="13" width="13.7109375" style="19" customWidth="1"/>
    <col min="14" max="14" width="2.7109375" style="19" customWidth="1"/>
    <col min="15" max="17" width="13.7109375" style="19" customWidth="1"/>
    <col min="18" max="16384" width="9.140625" style="19" customWidth="1"/>
  </cols>
  <sheetData>
    <row r="1" spans="1:17" ht="11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1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1.25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1.25">
      <c r="A4" s="23" t="s">
        <v>111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1.2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ht="11.25">
      <c r="A6" s="19" t="s">
        <v>114</v>
      </c>
    </row>
    <row r="8" spans="1:17" ht="11.25">
      <c r="A8" s="25"/>
      <c r="C8" s="26"/>
      <c r="D8" s="26" t="s">
        <v>96</v>
      </c>
      <c r="E8" s="26"/>
      <c r="G8" s="27" t="s">
        <v>94</v>
      </c>
      <c r="H8" s="27"/>
      <c r="I8" s="27"/>
      <c r="J8" s="27"/>
      <c r="K8" s="27"/>
      <c r="L8" s="27"/>
      <c r="M8" s="27"/>
      <c r="O8" s="27" t="s">
        <v>30</v>
      </c>
      <c r="P8" s="27"/>
      <c r="Q8" s="27"/>
    </row>
    <row r="9" spans="1:17" ht="11.25">
      <c r="A9" s="25"/>
      <c r="C9" s="28"/>
      <c r="D9" s="28"/>
      <c r="E9" s="28" t="s">
        <v>64</v>
      </c>
      <c r="G9" s="28"/>
      <c r="H9" s="28"/>
      <c r="I9" s="28" t="s">
        <v>64</v>
      </c>
      <c r="K9" s="28"/>
      <c r="L9" s="28"/>
      <c r="M9" s="28" t="s">
        <v>64</v>
      </c>
      <c r="O9" s="28"/>
      <c r="P9" s="28"/>
      <c r="Q9" s="28" t="s">
        <v>64</v>
      </c>
    </row>
    <row r="10" spans="1:17" ht="11.25">
      <c r="A10" s="25" t="s">
        <v>63</v>
      </c>
      <c r="C10" s="26" t="s">
        <v>92</v>
      </c>
      <c r="D10" s="26" t="s">
        <v>90</v>
      </c>
      <c r="E10" s="26" t="s">
        <v>91</v>
      </c>
      <c r="G10" s="26" t="s">
        <v>93</v>
      </c>
      <c r="H10" s="26" t="s">
        <v>90</v>
      </c>
      <c r="I10" s="26" t="s">
        <v>91</v>
      </c>
      <c r="K10" s="26" t="s">
        <v>95</v>
      </c>
      <c r="L10" s="26" t="s">
        <v>90</v>
      </c>
      <c r="M10" s="26" t="s">
        <v>91</v>
      </c>
      <c r="O10" s="26" t="s">
        <v>44</v>
      </c>
      <c r="P10" s="26" t="s">
        <v>90</v>
      </c>
      <c r="Q10" s="26" t="s">
        <v>91</v>
      </c>
    </row>
    <row r="11" spans="3:16" s="47" customFormat="1" ht="11.25">
      <c r="C11" s="47" t="s">
        <v>63</v>
      </c>
      <c r="D11" s="54">
        <f>0.0811/12</f>
        <v>0.006758333333333334</v>
      </c>
      <c r="H11" s="47">
        <f>+D11</f>
        <v>0.006758333333333334</v>
      </c>
      <c r="L11" s="47">
        <f>+D11</f>
        <v>0.006758333333333334</v>
      </c>
      <c r="P11" s="47">
        <f>+D11</f>
        <v>0.006758333333333334</v>
      </c>
    </row>
    <row r="12" ht="11.25">
      <c r="D12" s="29"/>
    </row>
    <row r="13" spans="1:17" ht="11.25">
      <c r="A13" s="25" t="s">
        <v>113</v>
      </c>
      <c r="C13" s="19">
        <v>16716130.6</v>
      </c>
      <c r="D13" s="19">
        <v>203849408.4</v>
      </c>
      <c r="E13" s="19">
        <f>+C13+D13</f>
        <v>220565539</v>
      </c>
      <c r="G13" s="19">
        <f>22620557.5-13047598.78+226199.68</f>
        <v>9799158.4</v>
      </c>
      <c r="H13" s="19">
        <v>-10886996.46</v>
      </c>
      <c r="I13" s="19">
        <f>+G13+H13</f>
        <v>-1087838.0600000005</v>
      </c>
      <c r="K13" s="19">
        <v>1063710.87</v>
      </c>
      <c r="L13" s="19">
        <v>2763860.37</v>
      </c>
      <c r="M13" s="19">
        <f>+K13+L13</f>
        <v>3827571.24</v>
      </c>
      <c r="O13" s="19">
        <v>14448716.22</v>
      </c>
      <c r="P13" s="19">
        <v>-232144312.71</v>
      </c>
      <c r="Q13" s="19">
        <f>+O13+P13</f>
        <v>-217695596.49</v>
      </c>
    </row>
    <row r="14" spans="1:17" ht="11.25">
      <c r="A14" s="19" t="s">
        <v>115</v>
      </c>
      <c r="D14" s="19">
        <v>0</v>
      </c>
      <c r="E14" s="19">
        <f>+C14+D14</f>
        <v>0</v>
      </c>
      <c r="H14" s="19">
        <v>0</v>
      </c>
      <c r="I14" s="19">
        <f>+G14+H14</f>
        <v>0</v>
      </c>
      <c r="L14" s="19">
        <v>0</v>
      </c>
      <c r="M14" s="19">
        <f>+K14+L14</f>
        <v>0</v>
      </c>
      <c r="Q14" s="19">
        <f>+O14+P14</f>
        <v>0</v>
      </c>
    </row>
    <row r="15" spans="1:17" ht="11.25">
      <c r="A15" s="19" t="s">
        <v>97</v>
      </c>
      <c r="C15" s="30">
        <f>+C13+C14</f>
        <v>16716130.6</v>
      </c>
      <c r="D15" s="30">
        <f>+D13+D14</f>
        <v>203849408.4</v>
      </c>
      <c r="E15" s="30">
        <f>+C15+D15</f>
        <v>220565539</v>
      </c>
      <c r="G15" s="30">
        <f>+G13+G14</f>
        <v>9799158.4</v>
      </c>
      <c r="H15" s="30">
        <f>+H13+H14</f>
        <v>-10886996.46</v>
      </c>
      <c r="I15" s="30">
        <f>+G15+H15</f>
        <v>-1087838.0600000005</v>
      </c>
      <c r="K15" s="30">
        <f>+K13+K14</f>
        <v>1063710.87</v>
      </c>
      <c r="L15" s="30">
        <f>+L13+L14</f>
        <v>2763860.37</v>
      </c>
      <c r="M15" s="30">
        <f>+K15+L15</f>
        <v>3827571.24</v>
      </c>
      <c r="O15" s="30">
        <f>+O13+O14</f>
        <v>14448716.22</v>
      </c>
      <c r="P15" s="30">
        <f>+P13+P14</f>
        <v>-232144312.71</v>
      </c>
      <c r="Q15" s="30">
        <f>+O15+P15</f>
        <v>-217695596.49</v>
      </c>
    </row>
    <row r="17" spans="1:17" ht="11.25">
      <c r="A17" s="19" t="s">
        <v>3</v>
      </c>
      <c r="C17" s="19">
        <f>Hydraulic!T15</f>
        <v>-708486.28</v>
      </c>
      <c r="D17" s="19">
        <f>ROUND(D$11*E15,2)</f>
        <v>1490655.43</v>
      </c>
      <c r="E17" s="19">
        <f>+E15+C17+D17</f>
        <v>221347708.15</v>
      </c>
      <c r="G17" s="19">
        <f>Load!$F$149</f>
        <v>-1024094.85</v>
      </c>
      <c r="H17" s="19">
        <f>ROUND(H$11*I15,2)</f>
        <v>-7351.97</v>
      </c>
      <c r="I17" s="19">
        <f>+I15+G17+H17</f>
        <v>-2119284.880000001</v>
      </c>
      <c r="K17" s="19">
        <f>Load!$F$153</f>
        <v>0</v>
      </c>
      <c r="L17" s="19">
        <f>ROUND(L$11*M15,2)</f>
        <v>25868</v>
      </c>
      <c r="M17" s="19">
        <f>+M15+K17+L17</f>
        <v>3853439.24</v>
      </c>
      <c r="O17" s="19">
        <f>Fuel!T12</f>
        <v>11141991.6</v>
      </c>
      <c r="P17" s="19">
        <f>ROUND(P$11*Q15,2)</f>
        <v>-1471259.41</v>
      </c>
      <c r="Q17" s="19">
        <f>+Q15+O17+P17</f>
        <v>-208024864.3</v>
      </c>
    </row>
    <row r="18" spans="1:17" ht="11.25">
      <c r="A18" s="19" t="s">
        <v>4</v>
      </c>
      <c r="C18" s="19">
        <f>Hydraulic!T16</f>
        <v>-371590.08</v>
      </c>
      <c r="D18" s="19">
        <f>ROUND(D$11*E17,2)</f>
        <v>1495941.59</v>
      </c>
      <c r="E18" s="19">
        <f>+E17+C18+D18</f>
        <v>222472059.66</v>
      </c>
      <c r="G18" s="19">
        <f>Load!$G$149</f>
        <v>-147493.48</v>
      </c>
      <c r="H18" s="19">
        <f>ROUND(H$11*I17,2)</f>
        <v>-14322.83</v>
      </c>
      <c r="I18" s="19">
        <f>+I17+G18+H18</f>
        <v>-2281101.190000001</v>
      </c>
      <c r="K18" s="19">
        <f>Load!$G$153</f>
        <v>0</v>
      </c>
      <c r="L18" s="19">
        <f>ROUND(L$11*M17,2)</f>
        <v>26042.83</v>
      </c>
      <c r="M18" s="19">
        <f>+M17+K18+L18</f>
        <v>3879482.0700000003</v>
      </c>
      <c r="O18" s="19">
        <f>Fuel!T13</f>
        <v>9630917.65</v>
      </c>
      <c r="P18" s="19">
        <f>ROUND(P$11*Q17,2)</f>
        <v>-1405901.37</v>
      </c>
      <c r="Q18" s="19">
        <f>+Q17+O18+P18</f>
        <v>-199799848.02</v>
      </c>
    </row>
    <row r="19" spans="1:17" ht="11.25">
      <c r="A19" s="19" t="s">
        <v>5</v>
      </c>
      <c r="C19" s="19">
        <f>Hydraulic!T17</f>
        <v>-796547.27</v>
      </c>
      <c r="D19" s="19">
        <f aca="true" t="shared" si="0" ref="D19:D28">ROUND(D$11*E18,2)</f>
        <v>1503540.34</v>
      </c>
      <c r="E19" s="19">
        <f aca="true" t="shared" si="1" ref="E19:E28">+E18+C19+D19</f>
        <v>223179052.73</v>
      </c>
      <c r="G19" s="19">
        <f>Load!$H$149</f>
        <v>-617383.93</v>
      </c>
      <c r="H19" s="19">
        <f aca="true" t="shared" si="2" ref="H19:H28">ROUND(H$11*I18,2)</f>
        <v>-15416.44</v>
      </c>
      <c r="I19" s="19">
        <f aca="true" t="shared" si="3" ref="I19:I28">+I18+G19+H19</f>
        <v>-2913901.560000001</v>
      </c>
      <c r="K19" s="19">
        <f>Load!$H$153</f>
        <v>0</v>
      </c>
      <c r="L19" s="19">
        <f aca="true" t="shared" si="4" ref="L19:L28">ROUND(L$11*M18,2)</f>
        <v>26218.83</v>
      </c>
      <c r="M19" s="19">
        <f aca="true" t="shared" si="5" ref="M19:M28">+M18+K19+L19</f>
        <v>3905700.9000000004</v>
      </c>
      <c r="O19" s="19">
        <f>Fuel!T14</f>
        <v>7569073.2</v>
      </c>
      <c r="P19" s="19">
        <f aca="true" t="shared" si="6" ref="P19:P28">ROUND(P$11*Q18,2)</f>
        <v>-1350313.97</v>
      </c>
      <c r="Q19" s="19">
        <f aca="true" t="shared" si="7" ref="Q19:Q28">+Q18+O19+P19</f>
        <v>-193581088.79000002</v>
      </c>
    </row>
    <row r="20" spans="1:17" ht="11.25">
      <c r="A20" s="19" t="s">
        <v>6</v>
      </c>
      <c r="C20" s="19">
        <f>Hydraulic!T18</f>
        <v>138287.6</v>
      </c>
      <c r="D20" s="19">
        <f t="shared" si="0"/>
        <v>1508318.43</v>
      </c>
      <c r="E20" s="19">
        <f t="shared" si="1"/>
        <v>224825658.76</v>
      </c>
      <c r="G20" s="19">
        <f>Load!$I$149</f>
        <v>-70642</v>
      </c>
      <c r="H20" s="19">
        <f t="shared" si="2"/>
        <v>-19693.12</v>
      </c>
      <c r="I20" s="19">
        <f t="shared" si="3"/>
        <v>-3004236.680000001</v>
      </c>
      <c r="K20" s="19">
        <f>Load!$I$153</f>
        <v>0</v>
      </c>
      <c r="L20" s="19">
        <f t="shared" si="4"/>
        <v>26396.03</v>
      </c>
      <c r="M20" s="19">
        <f t="shared" si="5"/>
        <v>3932096.93</v>
      </c>
      <c r="O20" s="19">
        <f>Fuel!T15</f>
        <v>6009982.800000001</v>
      </c>
      <c r="P20" s="19">
        <f t="shared" si="6"/>
        <v>-1308285.53</v>
      </c>
      <c r="Q20" s="19">
        <f t="shared" si="7"/>
        <v>-188879391.52</v>
      </c>
    </row>
    <row r="21" spans="1:17" ht="11.25">
      <c r="A21" s="19" t="s">
        <v>7</v>
      </c>
      <c r="C21" s="19">
        <f>Hydraulic!T19</f>
        <v>948463.64</v>
      </c>
      <c r="D21" s="19">
        <f t="shared" si="0"/>
        <v>1519446.74</v>
      </c>
      <c r="E21" s="19">
        <f t="shared" si="1"/>
        <v>227293569.14</v>
      </c>
      <c r="G21" s="19">
        <f>Load!$J$149</f>
        <v>-107905.84</v>
      </c>
      <c r="H21" s="19">
        <f t="shared" si="2"/>
        <v>-20303.63</v>
      </c>
      <c r="I21" s="19">
        <f t="shared" si="3"/>
        <v>-3132446.150000001</v>
      </c>
      <c r="K21" s="19">
        <f>Load!$J$153</f>
        <v>0</v>
      </c>
      <c r="L21" s="19">
        <f t="shared" si="4"/>
        <v>26574.42</v>
      </c>
      <c r="M21" s="19">
        <f t="shared" si="5"/>
        <v>3958671.35</v>
      </c>
      <c r="O21" s="19">
        <f>Fuel!T16</f>
        <v>4372481.2</v>
      </c>
      <c r="P21" s="19">
        <f t="shared" si="6"/>
        <v>-1276509.89</v>
      </c>
      <c r="Q21" s="19">
        <f t="shared" si="7"/>
        <v>-185783420.21</v>
      </c>
    </row>
    <row r="22" spans="1:17" ht="11.25">
      <c r="A22" s="19" t="s">
        <v>8</v>
      </c>
      <c r="C22" s="19">
        <f>Hydraulic!T20</f>
        <v>55356.2</v>
      </c>
      <c r="D22" s="19">
        <f t="shared" si="0"/>
        <v>1536125.7</v>
      </c>
      <c r="E22" s="19">
        <f t="shared" si="1"/>
        <v>228885051.03999996</v>
      </c>
      <c r="G22" s="19">
        <f>Load!$K$149</f>
        <v>-106766.44</v>
      </c>
      <c r="H22" s="19">
        <f t="shared" si="2"/>
        <v>-21170.12</v>
      </c>
      <c r="I22" s="19">
        <f t="shared" si="3"/>
        <v>-3260382.710000001</v>
      </c>
      <c r="K22" s="19">
        <f>Load!$K$153</f>
        <v>0</v>
      </c>
      <c r="L22" s="19">
        <f t="shared" si="4"/>
        <v>26754.02</v>
      </c>
      <c r="M22" s="19">
        <f t="shared" si="5"/>
        <v>3985425.37</v>
      </c>
      <c r="O22" s="19">
        <f>Fuel!T17</f>
        <v>2821005.6500000004</v>
      </c>
      <c r="P22" s="19">
        <f t="shared" si="6"/>
        <v>-1255586.28</v>
      </c>
      <c r="Q22" s="19">
        <f t="shared" si="7"/>
        <v>-184218000.84</v>
      </c>
    </row>
    <row r="23" spans="1:17" ht="11.25">
      <c r="A23" s="19" t="s">
        <v>9</v>
      </c>
      <c r="C23" s="19">
        <f>Hydraulic!T21</f>
        <v>-1905211.24</v>
      </c>
      <c r="D23" s="19">
        <f t="shared" si="0"/>
        <v>1546881.47</v>
      </c>
      <c r="E23" s="19">
        <f t="shared" si="1"/>
        <v>228526721.26999995</v>
      </c>
      <c r="G23" s="19">
        <f>Load!$L$149</f>
        <v>-239550.66</v>
      </c>
      <c r="H23" s="19">
        <f t="shared" si="2"/>
        <v>-22034.75</v>
      </c>
      <c r="I23" s="19">
        <f t="shared" si="3"/>
        <v>-3521968.120000001</v>
      </c>
      <c r="K23" s="19">
        <f>Load!$L$153</f>
        <v>0</v>
      </c>
      <c r="L23" s="19">
        <f t="shared" si="4"/>
        <v>26934.83</v>
      </c>
      <c r="M23" s="19">
        <f t="shared" si="5"/>
        <v>4012360.2</v>
      </c>
      <c r="O23" s="19">
        <f>Fuel!T18</f>
        <v>0</v>
      </c>
      <c r="P23" s="19">
        <f t="shared" si="6"/>
        <v>-1245006.66</v>
      </c>
      <c r="Q23" s="19">
        <f t="shared" si="7"/>
        <v>-185463007.5</v>
      </c>
    </row>
    <row r="24" spans="1:17" ht="11.25">
      <c r="A24" s="19" t="s">
        <v>10</v>
      </c>
      <c r="C24" s="19">
        <f>Hydraulic!T22</f>
        <v>-1755863.8</v>
      </c>
      <c r="D24" s="19">
        <f t="shared" si="0"/>
        <v>1544459.76</v>
      </c>
      <c r="E24" s="19">
        <f t="shared" si="1"/>
        <v>228315317.22999993</v>
      </c>
      <c r="G24" s="19">
        <f>Load!$M$149</f>
        <v>-114469.56</v>
      </c>
      <c r="H24" s="19">
        <f t="shared" si="2"/>
        <v>-23802.63</v>
      </c>
      <c r="I24" s="19">
        <f t="shared" si="3"/>
        <v>-3660240.310000001</v>
      </c>
      <c r="K24" s="19">
        <f>Load!$M$153</f>
        <v>0</v>
      </c>
      <c r="L24" s="19">
        <f t="shared" si="4"/>
        <v>27116.87</v>
      </c>
      <c r="M24" s="19">
        <f t="shared" si="5"/>
        <v>4039477.0700000003</v>
      </c>
      <c r="O24" s="19">
        <f>Fuel!T19</f>
        <v>0</v>
      </c>
      <c r="P24" s="19">
        <f t="shared" si="6"/>
        <v>-1253420.83</v>
      </c>
      <c r="Q24" s="19">
        <f t="shared" si="7"/>
        <v>-186716428.33</v>
      </c>
    </row>
    <row r="25" spans="1:17" ht="11.25">
      <c r="A25" s="19" t="s">
        <v>11</v>
      </c>
      <c r="C25" s="19">
        <f>Hydraulic!T23</f>
        <v>663105.45</v>
      </c>
      <c r="D25" s="19">
        <f t="shared" si="0"/>
        <v>1543031.02</v>
      </c>
      <c r="E25" s="19">
        <f t="shared" si="1"/>
        <v>230521453.69999993</v>
      </c>
      <c r="G25" s="19">
        <f>Load!$N$149</f>
        <v>-116273.8</v>
      </c>
      <c r="H25" s="19">
        <f t="shared" si="2"/>
        <v>-24737.12</v>
      </c>
      <c r="I25" s="19">
        <f t="shared" si="3"/>
        <v>-3801251.230000001</v>
      </c>
      <c r="K25" s="19">
        <f>Load!$N$153</f>
        <v>0</v>
      </c>
      <c r="L25" s="19">
        <f t="shared" si="4"/>
        <v>27300.13</v>
      </c>
      <c r="M25" s="19">
        <f t="shared" si="5"/>
        <v>4066777.2</v>
      </c>
      <c r="O25" s="19">
        <f>Fuel!T20</f>
        <v>3689881.7000000007</v>
      </c>
      <c r="P25" s="19">
        <f t="shared" si="6"/>
        <v>-1261891.86</v>
      </c>
      <c r="Q25" s="19">
        <f t="shared" si="7"/>
        <v>-184288438.49000004</v>
      </c>
    </row>
    <row r="26" spans="1:17" ht="11.25">
      <c r="A26" s="19" t="s">
        <v>12</v>
      </c>
      <c r="C26" s="19">
        <f>Hydraulic!T24</f>
        <v>980826.28</v>
      </c>
      <c r="D26" s="19">
        <f t="shared" si="0"/>
        <v>1557940.82</v>
      </c>
      <c r="E26" s="19">
        <f t="shared" si="1"/>
        <v>233060220.79999992</v>
      </c>
      <c r="G26" s="19">
        <f>Load!$O$149</f>
        <v>65338.7</v>
      </c>
      <c r="H26" s="19">
        <f t="shared" si="2"/>
        <v>-25690.12</v>
      </c>
      <c r="I26" s="19">
        <f t="shared" si="3"/>
        <v>-3761602.650000001</v>
      </c>
      <c r="K26" s="19">
        <f>Load!$O$153</f>
        <v>0</v>
      </c>
      <c r="L26" s="19">
        <f t="shared" si="4"/>
        <v>27484.64</v>
      </c>
      <c r="M26" s="19">
        <f t="shared" si="5"/>
        <v>4094261.8400000003</v>
      </c>
      <c r="O26" s="19">
        <f>Fuel!T21</f>
        <v>4931701.200000001</v>
      </c>
      <c r="P26" s="19">
        <f t="shared" si="6"/>
        <v>-1245482.7</v>
      </c>
      <c r="Q26" s="19">
        <f t="shared" si="7"/>
        <v>-180602219.99000004</v>
      </c>
    </row>
    <row r="27" spans="1:17" ht="11.25">
      <c r="A27" s="19" t="s">
        <v>13</v>
      </c>
      <c r="C27" s="19">
        <f>Hydraulic!T25</f>
        <v>881611.57</v>
      </c>
      <c r="D27" s="19">
        <f t="shared" si="0"/>
        <v>1575098.66</v>
      </c>
      <c r="E27" s="19">
        <f t="shared" si="1"/>
        <v>235516931.0299999</v>
      </c>
      <c r="G27" s="19">
        <f>Load!$P$149</f>
        <v>-60955.92</v>
      </c>
      <c r="H27" s="19">
        <f t="shared" si="2"/>
        <v>-25422.16</v>
      </c>
      <c r="I27" s="19">
        <f t="shared" si="3"/>
        <v>-3847980.730000001</v>
      </c>
      <c r="K27" s="19">
        <f>Load!$P$153</f>
        <v>0</v>
      </c>
      <c r="L27" s="19">
        <f t="shared" si="4"/>
        <v>27670.39</v>
      </c>
      <c r="M27" s="19">
        <f t="shared" si="5"/>
        <v>4121932.2300000004</v>
      </c>
      <c r="O27" s="19">
        <f>Fuel!T22</f>
        <v>6006353.22</v>
      </c>
      <c r="P27" s="19">
        <f t="shared" si="6"/>
        <v>-1220570</v>
      </c>
      <c r="Q27" s="19">
        <f t="shared" si="7"/>
        <v>-175816436.77000004</v>
      </c>
    </row>
    <row r="28" spans="1:17" ht="11.25">
      <c r="A28" s="19" t="s">
        <v>14</v>
      </c>
      <c r="C28" s="19">
        <f>Hydraulic!T26</f>
        <v>668388.43</v>
      </c>
      <c r="D28" s="19">
        <f t="shared" si="0"/>
        <v>1591701.93</v>
      </c>
      <c r="E28" s="19">
        <f t="shared" si="1"/>
        <v>237777021.38999993</v>
      </c>
      <c r="G28" s="19">
        <f>Load!$Q$149</f>
        <v>-196847.32</v>
      </c>
      <c r="H28" s="19">
        <f t="shared" si="2"/>
        <v>-26005.94</v>
      </c>
      <c r="I28" s="19">
        <f t="shared" si="3"/>
        <v>-4070833.9900000007</v>
      </c>
      <c r="K28" s="19">
        <f>Load!$Q$153</f>
        <v>0</v>
      </c>
      <c r="L28" s="19">
        <f t="shared" si="4"/>
        <v>27857.39</v>
      </c>
      <c r="M28" s="19">
        <f t="shared" si="5"/>
        <v>4149789.6200000006</v>
      </c>
      <c r="O28" s="19">
        <f>Fuel!T23</f>
        <v>7422862.1</v>
      </c>
      <c r="P28" s="19">
        <f t="shared" si="6"/>
        <v>-1188226.09</v>
      </c>
      <c r="Q28" s="19">
        <f t="shared" si="7"/>
        <v>-169581800.76000005</v>
      </c>
    </row>
    <row r="30" spans="3:17" ht="11.25">
      <c r="C30" s="31">
        <f>SUM(C17:C29)</f>
        <v>-1201659.5</v>
      </c>
      <c r="D30" s="31">
        <f>SUM(D17:D29)</f>
        <v>18413141.89</v>
      </c>
      <c r="E30" s="31">
        <f>C30+D30</f>
        <v>17211482.39</v>
      </c>
      <c r="G30" s="31">
        <f>SUM(G17:G29)</f>
        <v>-2737045.0999999996</v>
      </c>
      <c r="H30" s="31">
        <f>SUM(H17:H29)</f>
        <v>-245950.83</v>
      </c>
      <c r="I30" s="31">
        <f>G30+H30</f>
        <v>-2982995.9299999997</v>
      </c>
      <c r="K30" s="31">
        <f>SUM(K17:K29)</f>
        <v>0</v>
      </c>
      <c r="L30" s="31">
        <f>SUM(L17:L29)</f>
        <v>322218.38</v>
      </c>
      <c r="M30" s="31">
        <f>K30+L30</f>
        <v>322218.38</v>
      </c>
      <c r="O30" s="31">
        <f>SUM(O17:O29)</f>
        <v>63596250.32000001</v>
      </c>
      <c r="P30" s="31">
        <f>SUM(P17:P29)</f>
        <v>-15482454.589999998</v>
      </c>
      <c r="Q30" s="31">
        <f>O30+P30</f>
        <v>48113795.73000001</v>
      </c>
    </row>
    <row r="32" spans="1:17" ht="12" thickBot="1">
      <c r="A32" s="19" t="s">
        <v>106</v>
      </c>
      <c r="C32" s="32">
        <f>+C15+C30</f>
        <v>15514471.1</v>
      </c>
      <c r="D32" s="32">
        <f>+D15+D30</f>
        <v>222262550.29000002</v>
      </c>
      <c r="E32" s="32">
        <f>SUM(C32:D32)</f>
        <v>237777021.39000002</v>
      </c>
      <c r="G32" s="32">
        <f>+G15+G30</f>
        <v>7062113.300000001</v>
      </c>
      <c r="H32" s="32">
        <f>+H15+H30</f>
        <v>-11132947.290000001</v>
      </c>
      <c r="I32" s="32">
        <f>SUM(G32:H32)</f>
        <v>-4070833.99</v>
      </c>
      <c r="K32" s="32">
        <f>+K15+K30</f>
        <v>1063710.87</v>
      </c>
      <c r="L32" s="32">
        <f>+L15+L30</f>
        <v>3086078.75</v>
      </c>
      <c r="M32" s="32">
        <f>SUM(K32:L32)</f>
        <v>4149789.62</v>
      </c>
      <c r="O32" s="32">
        <f>+O15+O30</f>
        <v>78044966.54</v>
      </c>
      <c r="P32" s="32">
        <f>+P15+P30</f>
        <v>-247626767.3</v>
      </c>
      <c r="Q32" s="32">
        <f>SUM(O32:P32)</f>
        <v>-169581800.76</v>
      </c>
    </row>
    <row r="33" ht="12" thickTop="1"/>
    <row r="38" spans="12:13" ht="11.25">
      <c r="L38" s="35"/>
      <c r="M38" s="36"/>
    </row>
    <row r="42" spans="1:17" ht="11.25">
      <c r="A42" s="23" t="str">
        <f>A1</f>
        <v>Newfoundland and Labrador Hydro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11.25">
      <c r="A43" s="23" t="str">
        <f>A2</f>
        <v>Rate Stabilization Plan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1.25">
      <c r="A44" s="23" t="str">
        <f>A3</f>
        <v>Summary Report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1.25">
      <c r="A45" s="23" t="str">
        <f>A4</f>
        <v>Forecast 2001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1.25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11.25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ht="11.25">
      <c r="A48" s="19" t="s">
        <v>63</v>
      </c>
    </row>
    <row r="49" spans="1:15" ht="11.25">
      <c r="A49" s="19" t="s">
        <v>63</v>
      </c>
      <c r="C49" s="26"/>
      <c r="D49" s="26" t="s">
        <v>98</v>
      </c>
      <c r="E49" s="26"/>
      <c r="G49" s="26"/>
      <c r="H49" s="26" t="s">
        <v>99</v>
      </c>
      <c r="I49" s="26"/>
      <c r="K49" s="26"/>
      <c r="L49" s="26" t="s">
        <v>102</v>
      </c>
      <c r="M49" s="26"/>
      <c r="O49" s="28" t="s">
        <v>103</v>
      </c>
    </row>
    <row r="50" spans="1:15" ht="11.25">
      <c r="A50" s="19" t="s">
        <v>63</v>
      </c>
      <c r="C50" s="28"/>
      <c r="D50" s="28"/>
      <c r="E50" s="28" t="s">
        <v>64</v>
      </c>
      <c r="G50" s="28" t="s">
        <v>100</v>
      </c>
      <c r="H50" s="28"/>
      <c r="I50" s="28" t="s">
        <v>64</v>
      </c>
      <c r="K50" s="28" t="s">
        <v>107</v>
      </c>
      <c r="L50" s="28"/>
      <c r="M50" s="28" t="s">
        <v>64</v>
      </c>
      <c r="O50" s="28" t="s">
        <v>104</v>
      </c>
    </row>
    <row r="51" spans="1:15" ht="11.25">
      <c r="A51" s="19" t="s">
        <v>63</v>
      </c>
      <c r="C51" s="26" t="str">
        <f>+D49</f>
        <v>Recovery</v>
      </c>
      <c r="D51" s="26" t="s">
        <v>90</v>
      </c>
      <c r="E51" s="26" t="s">
        <v>91</v>
      </c>
      <c r="G51" s="26" t="s">
        <v>101</v>
      </c>
      <c r="H51" s="26" t="s">
        <v>90</v>
      </c>
      <c r="I51" s="26" t="s">
        <v>91</v>
      </c>
      <c r="K51" s="26" t="s">
        <v>49</v>
      </c>
      <c r="L51" s="26" t="s">
        <v>90</v>
      </c>
      <c r="M51" s="26" t="s">
        <v>91</v>
      </c>
      <c r="O51" s="26" t="s">
        <v>105</v>
      </c>
    </row>
    <row r="52" spans="1:15" s="47" customFormat="1" ht="11.25">
      <c r="A52" s="47" t="s">
        <v>63</v>
      </c>
      <c r="D52" s="54">
        <f>+D11</f>
        <v>0.006758333333333334</v>
      </c>
      <c r="H52" s="54">
        <f>+H11</f>
        <v>0.006758333333333334</v>
      </c>
      <c r="L52" s="54">
        <f>+L11</f>
        <v>0.006758333333333334</v>
      </c>
      <c r="O52" s="55"/>
    </row>
    <row r="53" spans="1:12" ht="11.25">
      <c r="A53" s="19" t="s">
        <v>63</v>
      </c>
      <c r="D53" s="29"/>
      <c r="H53" s="29"/>
      <c r="L53" s="29"/>
    </row>
    <row r="54" spans="1:15" ht="11.25">
      <c r="A54" s="19" t="str">
        <f aca="true" t="shared" si="8" ref="A54:A69">A13</f>
        <v>Actual 2000</v>
      </c>
      <c r="C54" s="19">
        <f>-28108758.75+11489419</f>
        <v>-16619339.75</v>
      </c>
      <c r="D54" s="19">
        <v>49109959.06</v>
      </c>
      <c r="E54" s="19">
        <f>+C54+D54</f>
        <v>32490619.310000002</v>
      </c>
      <c r="G54" s="19">
        <v>-45374</v>
      </c>
      <c r="H54" s="19">
        <v>88067.93</v>
      </c>
      <c r="I54" s="19">
        <f>+G54+H54</f>
        <v>42693.92999999999</v>
      </c>
      <c r="K54" s="19">
        <v>-2048380.4</v>
      </c>
      <c r="L54" s="19">
        <v>-492107.04</v>
      </c>
      <c r="M54" s="19">
        <f>+K54+L54</f>
        <v>-2540487.44</v>
      </c>
      <c r="O54" s="19">
        <f>+E13+I13+M13+Q13+E54+I54+M54</f>
        <v>35602501.49</v>
      </c>
    </row>
    <row r="55" spans="1:15" ht="11.25">
      <c r="A55" s="19" t="str">
        <f t="shared" si="8"/>
        <v>adjustment</v>
      </c>
      <c r="D55" s="19">
        <v>0</v>
      </c>
      <c r="E55" s="19">
        <f>+C55+D55</f>
        <v>0</v>
      </c>
      <c r="H55" s="19">
        <v>0</v>
      </c>
      <c r="I55" s="19">
        <f>+G55+H55</f>
        <v>0</v>
      </c>
      <c r="L55" s="19">
        <v>0</v>
      </c>
      <c r="M55" s="19">
        <f>+K55+L55</f>
        <v>0</v>
      </c>
      <c r="O55" s="19">
        <f>+E14+I14+M14+Q14+E55+I55+M55</f>
        <v>0</v>
      </c>
    </row>
    <row r="56" spans="1:15" ht="11.25">
      <c r="A56" s="19" t="str">
        <f t="shared" si="8"/>
        <v>revised</v>
      </c>
      <c r="C56" s="30">
        <f>+C54+C55</f>
        <v>-16619339.75</v>
      </c>
      <c r="D56" s="30">
        <f>+D54+D55</f>
        <v>49109959.06</v>
      </c>
      <c r="E56" s="30">
        <f>+C56+D56</f>
        <v>32490619.310000002</v>
      </c>
      <c r="G56" s="30">
        <f>+G54+G55</f>
        <v>-45374</v>
      </c>
      <c r="H56" s="30">
        <f>+H54+H55</f>
        <v>88067.93</v>
      </c>
      <c r="I56" s="30">
        <f>+G56+H56</f>
        <v>42693.92999999999</v>
      </c>
      <c r="K56" s="30">
        <f>+K54+K55</f>
        <v>-2048380.4</v>
      </c>
      <c r="L56" s="30">
        <f>+L54+L55</f>
        <v>-492107.04</v>
      </c>
      <c r="M56" s="30">
        <f>+K56+L56</f>
        <v>-2540487.44</v>
      </c>
      <c r="O56" s="30">
        <f>SUM(O54:O55)</f>
        <v>35602501.49</v>
      </c>
    </row>
    <row r="57" ht="11.25">
      <c r="A57" s="19" t="s">
        <v>63</v>
      </c>
    </row>
    <row r="58" spans="1:15" ht="11.25">
      <c r="A58" s="19" t="str">
        <f t="shared" si="8"/>
        <v>January</v>
      </c>
      <c r="C58" s="19">
        <f>Load!$F$214</f>
        <v>-1236277</v>
      </c>
      <c r="D58" s="19">
        <f>ROUND(D$11*E56,2)</f>
        <v>219582.44</v>
      </c>
      <c r="E58" s="19">
        <f>+E56+C58+D58</f>
        <v>31473924.750000004</v>
      </c>
      <c r="G58" s="19">
        <v>-102494</v>
      </c>
      <c r="H58" s="19">
        <f>ROUND(H$11*I56,2)</f>
        <v>288.54</v>
      </c>
      <c r="I58" s="19">
        <f>+I56+G58+H58</f>
        <v>-59511.530000000006</v>
      </c>
      <c r="K58" s="19">
        <v>-134400</v>
      </c>
      <c r="L58" s="19">
        <f>ROUND(L$11*M56,2)</f>
        <v>-17169.46</v>
      </c>
      <c r="M58" s="19">
        <f>+M56+K58+L58</f>
        <v>-2692056.9</v>
      </c>
      <c r="O58" s="19">
        <f aca="true" t="shared" si="9" ref="O58:O69">+E17+I17+M17+Q17+E58+I58+M58</f>
        <v>43779354.53000001</v>
      </c>
    </row>
    <row r="59" spans="1:15" ht="11.25">
      <c r="A59" s="19" t="str">
        <f t="shared" si="8"/>
        <v>February</v>
      </c>
      <c r="C59" s="19">
        <f>Load!$G$214</f>
        <v>-1120796.6</v>
      </c>
      <c r="D59" s="19">
        <f>ROUND(D$11*E58,2)</f>
        <v>212711.27</v>
      </c>
      <c r="E59" s="19">
        <f>+E58+C59+D59</f>
        <v>30565839.42</v>
      </c>
      <c r="G59" s="19">
        <v>26853</v>
      </c>
      <c r="H59" s="19">
        <f>ROUND(H$11*I58,2)</f>
        <v>-402.2</v>
      </c>
      <c r="I59" s="19">
        <f>+I58+G59+H59</f>
        <v>-33060.73</v>
      </c>
      <c r="K59" s="19">
        <v>-139241</v>
      </c>
      <c r="L59" s="19">
        <f>ROUND(L$11*M58,2)</f>
        <v>-18193.82</v>
      </c>
      <c r="M59" s="19">
        <f>+M58+K59+L59</f>
        <v>-2849491.7199999997</v>
      </c>
      <c r="O59" s="19">
        <f t="shared" si="9"/>
        <v>51953879.48999999</v>
      </c>
    </row>
    <row r="60" spans="1:15" ht="11.25">
      <c r="A60" s="19" t="str">
        <f t="shared" si="8"/>
        <v>March</v>
      </c>
      <c r="C60" s="19">
        <f>Load!$H$214</f>
        <v>-1155572.6</v>
      </c>
      <c r="D60" s="19">
        <f aca="true" t="shared" si="10" ref="D60:D69">ROUND(D$11*E59,2)</f>
        <v>206574.13</v>
      </c>
      <c r="E60" s="19">
        <f aca="true" t="shared" si="11" ref="E60:E69">+E59+C60+D60</f>
        <v>29616840.95</v>
      </c>
      <c r="G60" s="19">
        <v>20115</v>
      </c>
      <c r="H60" s="19">
        <f aca="true" t="shared" si="12" ref="H60:H69">ROUND(H$11*I59,2)</f>
        <v>-223.44</v>
      </c>
      <c r="I60" s="19">
        <f aca="true" t="shared" si="13" ref="I60:I69">+I59+G60+H60</f>
        <v>-13169.170000000004</v>
      </c>
      <c r="K60" s="19">
        <v>-133853</v>
      </c>
      <c r="L60" s="19">
        <f aca="true" t="shared" si="14" ref="L60:L69">ROUND(L$11*M59,2)</f>
        <v>-19257.81</v>
      </c>
      <c r="M60" s="19">
        <f aca="true" t="shared" si="15" ref="M60:M69">+M59+K60+L60</f>
        <v>-3002602.53</v>
      </c>
      <c r="O60" s="19">
        <f t="shared" si="9"/>
        <v>57190832.52999997</v>
      </c>
    </row>
    <row r="61" spans="1:15" ht="11.25">
      <c r="A61" s="19" t="str">
        <f t="shared" si="8"/>
        <v>April</v>
      </c>
      <c r="C61" s="19">
        <f>Load!$I$214</f>
        <v>-980420</v>
      </c>
      <c r="D61" s="19">
        <f t="shared" si="10"/>
        <v>200160.48</v>
      </c>
      <c r="E61" s="19">
        <f t="shared" si="11"/>
        <v>28836581.43</v>
      </c>
      <c r="G61" s="19">
        <v>11363</v>
      </c>
      <c r="H61" s="19">
        <f t="shared" si="12"/>
        <v>-89</v>
      </c>
      <c r="I61" s="19">
        <f t="shared" si="13"/>
        <v>-1895.1700000000037</v>
      </c>
      <c r="K61" s="19">
        <v>-127682</v>
      </c>
      <c r="L61" s="19">
        <f t="shared" si="14"/>
        <v>-20292.59</v>
      </c>
      <c r="M61" s="19">
        <f t="shared" si="15"/>
        <v>-3150577.1199999996</v>
      </c>
      <c r="O61" s="19">
        <f t="shared" si="9"/>
        <v>62558236.62999998</v>
      </c>
    </row>
    <row r="62" spans="1:15" ht="11.25">
      <c r="A62" s="19" t="str">
        <f t="shared" si="8"/>
        <v>May</v>
      </c>
      <c r="C62" s="19">
        <f>Load!$J$214</f>
        <v>-846395.2</v>
      </c>
      <c r="D62" s="19">
        <f t="shared" si="10"/>
        <v>194887.23</v>
      </c>
      <c r="E62" s="19">
        <f t="shared" si="11"/>
        <v>28185073.46</v>
      </c>
      <c r="G62" s="19">
        <v>4716</v>
      </c>
      <c r="H62" s="19">
        <f t="shared" si="12"/>
        <v>-12.81</v>
      </c>
      <c r="I62" s="19">
        <f t="shared" si="13"/>
        <v>2808.0199999999963</v>
      </c>
      <c r="K62" s="19">
        <v>-115641</v>
      </c>
      <c r="L62" s="19">
        <f t="shared" si="14"/>
        <v>-21292.65</v>
      </c>
      <c r="M62" s="19">
        <f t="shared" si="15"/>
        <v>-3287510.7699999996</v>
      </c>
      <c r="O62" s="19">
        <f t="shared" si="9"/>
        <v>67236744.83999997</v>
      </c>
    </row>
    <row r="63" spans="1:15" ht="11.25">
      <c r="A63" s="19" t="str">
        <f t="shared" si="8"/>
        <v>June</v>
      </c>
      <c r="C63" s="19">
        <f>Load!$K$214</f>
        <v>-776493.2</v>
      </c>
      <c r="D63" s="19">
        <f t="shared" si="10"/>
        <v>190484.12</v>
      </c>
      <c r="E63" s="19">
        <f t="shared" si="11"/>
        <v>27599064.380000003</v>
      </c>
      <c r="G63" s="19">
        <v>-2350</v>
      </c>
      <c r="H63" s="19">
        <f t="shared" si="12"/>
        <v>18.98</v>
      </c>
      <c r="I63" s="19">
        <f t="shared" si="13"/>
        <v>476.99999999999636</v>
      </c>
      <c r="K63" s="19">
        <v>-108779</v>
      </c>
      <c r="L63" s="19">
        <f t="shared" si="14"/>
        <v>-22218.09</v>
      </c>
      <c r="M63" s="19">
        <f t="shared" si="15"/>
        <v>-3418507.8599999994</v>
      </c>
      <c r="O63" s="19">
        <f t="shared" si="9"/>
        <v>69573126.37999995</v>
      </c>
    </row>
    <row r="64" spans="1:15" ht="11.25">
      <c r="A64" s="19" t="str">
        <f t="shared" si="8"/>
        <v>July</v>
      </c>
      <c r="C64" s="19">
        <f>Load!$L$214</f>
        <v>-765246.8</v>
      </c>
      <c r="D64" s="19">
        <f t="shared" si="10"/>
        <v>186523.68</v>
      </c>
      <c r="E64" s="19">
        <f t="shared" si="11"/>
        <v>27020341.26</v>
      </c>
      <c r="G64" s="19">
        <v>-16632</v>
      </c>
      <c r="H64" s="19">
        <f t="shared" si="12"/>
        <v>3.22</v>
      </c>
      <c r="I64" s="19">
        <f t="shared" si="13"/>
        <v>-16151.780000000004</v>
      </c>
      <c r="K64" s="19">
        <v>-108482</v>
      </c>
      <c r="L64" s="19">
        <f t="shared" si="14"/>
        <v>-23103.42</v>
      </c>
      <c r="M64" s="19">
        <f t="shared" si="15"/>
        <v>-3550093.2799999993</v>
      </c>
      <c r="O64" s="19">
        <f t="shared" si="9"/>
        <v>67008202.04999994</v>
      </c>
    </row>
    <row r="65" spans="1:15" ht="11.25">
      <c r="A65" s="19" t="str">
        <f t="shared" si="8"/>
        <v>August</v>
      </c>
      <c r="C65" s="19">
        <f>Load!$M$214</f>
        <v>-756986.8</v>
      </c>
      <c r="D65" s="19">
        <f t="shared" si="10"/>
        <v>182612.47</v>
      </c>
      <c r="E65" s="19">
        <f t="shared" si="11"/>
        <v>26445966.93</v>
      </c>
      <c r="G65" s="19">
        <v>-14309</v>
      </c>
      <c r="H65" s="19">
        <f t="shared" si="12"/>
        <v>-109.16</v>
      </c>
      <c r="I65" s="19">
        <f t="shared" si="13"/>
        <v>-30569.940000000006</v>
      </c>
      <c r="K65" s="19">
        <v>-94125</v>
      </c>
      <c r="L65" s="19">
        <f t="shared" si="14"/>
        <v>-23992.71</v>
      </c>
      <c r="M65" s="19">
        <f t="shared" si="15"/>
        <v>-3668210.9899999993</v>
      </c>
      <c r="O65" s="19">
        <f t="shared" si="9"/>
        <v>64725311.659999914</v>
      </c>
    </row>
    <row r="66" spans="1:15" ht="11.25">
      <c r="A66" s="19" t="str">
        <f t="shared" si="8"/>
        <v>September</v>
      </c>
      <c r="C66" s="19">
        <f>Load!$N$214</f>
        <v>-780029.2</v>
      </c>
      <c r="D66" s="19">
        <f t="shared" si="10"/>
        <v>178730.66</v>
      </c>
      <c r="E66" s="19">
        <f t="shared" si="11"/>
        <v>25844668.39</v>
      </c>
      <c r="G66" s="19">
        <v>6090</v>
      </c>
      <c r="H66" s="19">
        <f t="shared" si="12"/>
        <v>-206.6</v>
      </c>
      <c r="I66" s="19">
        <f t="shared" si="13"/>
        <v>-24686.540000000005</v>
      </c>
      <c r="K66" s="19">
        <v>-105655</v>
      </c>
      <c r="L66" s="19">
        <f t="shared" si="14"/>
        <v>-24790.99</v>
      </c>
      <c r="M66" s="19">
        <f t="shared" si="15"/>
        <v>-3798656.9799999995</v>
      </c>
      <c r="O66" s="19">
        <f t="shared" si="9"/>
        <v>68519866.04999988</v>
      </c>
    </row>
    <row r="67" spans="1:15" ht="11.25">
      <c r="A67" s="19" t="str">
        <f t="shared" si="8"/>
        <v>October</v>
      </c>
      <c r="C67" s="19">
        <f>Load!$O$214</f>
        <v>-904777.2</v>
      </c>
      <c r="D67" s="19">
        <f t="shared" si="10"/>
        <v>174666.88</v>
      </c>
      <c r="E67" s="19">
        <f t="shared" si="11"/>
        <v>25114558.07</v>
      </c>
      <c r="G67" s="19">
        <v>7909</v>
      </c>
      <c r="H67" s="19">
        <f t="shared" si="12"/>
        <v>-166.84</v>
      </c>
      <c r="I67" s="19">
        <f t="shared" si="13"/>
        <v>-16944.380000000005</v>
      </c>
      <c r="K67" s="19">
        <v>-108295</v>
      </c>
      <c r="L67" s="19">
        <f t="shared" si="14"/>
        <v>-25672.59</v>
      </c>
      <c r="M67" s="19">
        <f t="shared" si="15"/>
        <v>-3932624.5699999994</v>
      </c>
      <c r="O67" s="19">
        <f t="shared" si="9"/>
        <v>73955649.11999989</v>
      </c>
    </row>
    <row r="68" spans="1:15" ht="11.25">
      <c r="A68" s="19" t="str">
        <f t="shared" si="8"/>
        <v>November</v>
      </c>
      <c r="C68" s="19">
        <f>Load!$P$214</f>
        <v>-1005938.2</v>
      </c>
      <c r="D68" s="19">
        <f t="shared" si="10"/>
        <v>169732.55</v>
      </c>
      <c r="E68" s="19">
        <f t="shared" si="11"/>
        <v>24278352.42</v>
      </c>
      <c r="G68" s="19">
        <v>11927</v>
      </c>
      <c r="H68" s="19">
        <f t="shared" si="12"/>
        <v>-114.52</v>
      </c>
      <c r="I68" s="19">
        <f t="shared" si="13"/>
        <v>-5131.900000000005</v>
      </c>
      <c r="K68" s="19">
        <v>-117145</v>
      </c>
      <c r="L68" s="19">
        <f t="shared" si="14"/>
        <v>-26577.99</v>
      </c>
      <c r="M68" s="19">
        <f t="shared" si="15"/>
        <v>-4076347.5599999996</v>
      </c>
      <c r="O68" s="19">
        <f t="shared" si="9"/>
        <v>80171318.71999986</v>
      </c>
    </row>
    <row r="69" spans="1:15" ht="11.25">
      <c r="A69" s="19" t="str">
        <f t="shared" si="8"/>
        <v>December</v>
      </c>
      <c r="C69" s="19">
        <f>Load!$Q$214</f>
        <v>-1180055.2</v>
      </c>
      <c r="D69" s="19">
        <f t="shared" si="10"/>
        <v>164081.2</v>
      </c>
      <c r="E69" s="19">
        <f t="shared" si="11"/>
        <v>23262378.42</v>
      </c>
      <c r="G69" s="19">
        <v>108087</v>
      </c>
      <c r="H69" s="19">
        <f t="shared" si="12"/>
        <v>-34.68</v>
      </c>
      <c r="I69" s="19">
        <f t="shared" si="13"/>
        <v>102920.42</v>
      </c>
      <c r="K69" s="19">
        <v>-138267</v>
      </c>
      <c r="L69" s="19">
        <f t="shared" si="14"/>
        <v>-27549.32</v>
      </c>
      <c r="M69" s="19">
        <f t="shared" si="15"/>
        <v>-4242163.88</v>
      </c>
      <c r="O69" s="19">
        <f t="shared" si="9"/>
        <v>87397311.21999988</v>
      </c>
    </row>
    <row r="70" ht="11.25">
      <c r="A70" s="19" t="s">
        <v>63</v>
      </c>
    </row>
    <row r="71" spans="1:15" ht="11.25">
      <c r="A71" s="19" t="s">
        <v>63</v>
      </c>
      <c r="C71" s="31">
        <f>SUM(C58:C70)</f>
        <v>-11508987.999999998</v>
      </c>
      <c r="D71" s="31">
        <f>SUM(D58:D70)</f>
        <v>2280747.11</v>
      </c>
      <c r="E71" s="31">
        <f>C71+D71</f>
        <v>-9228240.889999999</v>
      </c>
      <c r="G71" s="31">
        <f>SUM(G58:G70)</f>
        <v>61275</v>
      </c>
      <c r="H71" s="31">
        <f>SUM(H58:H70)</f>
        <v>-1048.51</v>
      </c>
      <c r="I71" s="31">
        <f>G71+H71</f>
        <v>60226.49</v>
      </c>
      <c r="K71" s="31">
        <f>SUM(K58:K70)</f>
        <v>-1431565</v>
      </c>
      <c r="L71" s="31">
        <f>SUM(L58:L70)</f>
        <v>-270111.43999999994</v>
      </c>
      <c r="M71" s="31">
        <f>K71+L71</f>
        <v>-1701676.44</v>
      </c>
      <c r="O71" s="31">
        <f>+E30+I30+M30+Q30+E71+I71+M71</f>
        <v>51794809.73000002</v>
      </c>
    </row>
    <row r="73" spans="3:15" ht="12" thickBot="1">
      <c r="C73" s="32">
        <f>+C56+C71</f>
        <v>-28128327.75</v>
      </c>
      <c r="D73" s="32">
        <f>+D56+D71</f>
        <v>51390706.17</v>
      </c>
      <c r="E73" s="32">
        <f>SUM(C73:D73)</f>
        <v>23262378.42</v>
      </c>
      <c r="G73" s="32">
        <f>+G56+G71</f>
        <v>15901</v>
      </c>
      <c r="H73" s="32">
        <f>+H56+H71</f>
        <v>87019.42</v>
      </c>
      <c r="I73" s="32">
        <f>SUM(G73:H73)</f>
        <v>102920.42</v>
      </c>
      <c r="K73" s="32">
        <f>+K56+K71</f>
        <v>-3479945.4</v>
      </c>
      <c r="L73" s="32">
        <f>+L56+L71</f>
        <v>-762218.48</v>
      </c>
      <c r="M73" s="32">
        <f>SUM(K73:L73)</f>
        <v>-4242163.88</v>
      </c>
      <c r="O73" s="34">
        <f>+E32+I32+M32+Q32+E73+I73+M73</f>
        <v>87397311.22000003</v>
      </c>
    </row>
    <row r="74" ht="12" thickTop="1"/>
    <row r="80" spans="12:13" ht="11.25">
      <c r="L80" s="35"/>
      <c r="M80" s="36"/>
    </row>
  </sheetData>
  <printOptions verticalCentered="1"/>
  <pageMargins left="0.5" right="0.5" top="1" bottom="1" header="0.5" footer="0.5"/>
  <pageSetup horizontalDpi="600" verticalDpi="600" orientation="landscape" scale="70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">
      <selection activeCell="B3" sqref="B3"/>
    </sheetView>
  </sheetViews>
  <sheetFormatPr defaultColWidth="9.140625" defaultRowHeight="12.75"/>
  <cols>
    <col min="1" max="1" width="9.140625" style="5" customWidth="1"/>
    <col min="2" max="2" width="3.7109375" style="5" customWidth="1"/>
    <col min="3" max="4" width="9.7109375" style="5" customWidth="1"/>
    <col min="5" max="7" width="9.28125" style="5" bestFit="1" customWidth="1"/>
    <col min="8" max="8" width="10.421875" style="5" bestFit="1" customWidth="1"/>
    <col min="9" max="9" width="3.7109375" style="5" customWidth="1"/>
    <col min="10" max="10" width="10.421875" style="5" bestFit="1" customWidth="1"/>
    <col min="11" max="14" width="9.28125" style="5" bestFit="1" customWidth="1"/>
    <col min="15" max="15" width="10.421875" style="5" bestFit="1" customWidth="1"/>
    <col min="16" max="16" width="3.7109375" style="5" customWidth="1"/>
    <col min="17" max="19" width="9.140625" style="5" customWidth="1"/>
    <col min="20" max="20" width="16.7109375" style="5" customWidth="1"/>
    <col min="21" max="16384" width="9.140625" style="5" customWidth="1"/>
  </cols>
  <sheetData>
    <row r="1" spans="1:20" ht="11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1.2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1.25">
      <c r="A3" s="13" t="s">
        <v>116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1.25">
      <c r="A4" s="13" t="str">
        <f>Summary!$A$4</f>
        <v>Forecast 2001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6" spans="2:7" ht="11.25">
      <c r="B6" s="15"/>
      <c r="C6" s="15"/>
      <c r="D6" s="15"/>
      <c r="E6" s="15"/>
      <c r="F6" s="15"/>
      <c r="G6" s="15"/>
    </row>
    <row r="7" spans="2:7" ht="11.25">
      <c r="B7" s="15"/>
      <c r="C7" s="15"/>
      <c r="D7" s="15"/>
      <c r="E7" s="15"/>
      <c r="F7" s="15"/>
      <c r="G7" s="15"/>
    </row>
    <row r="10" spans="3:15" ht="11.25">
      <c r="C10" s="16" t="s">
        <v>15</v>
      </c>
      <c r="D10" s="16"/>
      <c r="E10" s="17"/>
      <c r="F10" s="17"/>
      <c r="G10" s="17"/>
      <c r="H10" s="17"/>
      <c r="J10" s="16" t="s">
        <v>15</v>
      </c>
      <c r="K10" s="16"/>
      <c r="L10" s="17"/>
      <c r="M10" s="17"/>
      <c r="N10" s="17"/>
      <c r="O10" s="17"/>
    </row>
    <row r="11" spans="3:15" ht="11.25">
      <c r="C11" s="16" t="s">
        <v>111</v>
      </c>
      <c r="D11" s="16"/>
      <c r="E11" s="17"/>
      <c r="F11" s="17"/>
      <c r="G11" s="17"/>
      <c r="H11" s="17"/>
      <c r="J11" s="16" t="s">
        <v>16</v>
      </c>
      <c r="K11" s="16"/>
      <c r="L11" s="17"/>
      <c r="M11" s="17"/>
      <c r="N11" s="17"/>
      <c r="O11" s="17"/>
    </row>
    <row r="12" spans="3:20" ht="11.25"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Q12" s="6" t="s">
        <v>23</v>
      </c>
      <c r="R12" s="6" t="s">
        <v>25</v>
      </c>
      <c r="S12" s="6" t="s">
        <v>27</v>
      </c>
      <c r="T12" s="6"/>
    </row>
    <row r="13" spans="3:20" ht="11.25">
      <c r="C13" s="18" t="s">
        <v>17</v>
      </c>
      <c r="D13" s="18" t="s">
        <v>18</v>
      </c>
      <c r="E13" s="18" t="s">
        <v>19</v>
      </c>
      <c r="F13" s="18" t="s">
        <v>20</v>
      </c>
      <c r="G13" s="18" t="s">
        <v>21</v>
      </c>
      <c r="H13" s="18" t="s">
        <v>22</v>
      </c>
      <c r="J13" s="18" t="s">
        <v>17</v>
      </c>
      <c r="K13" s="18" t="s">
        <v>18</v>
      </c>
      <c r="L13" s="18" t="s">
        <v>19</v>
      </c>
      <c r="M13" s="18" t="s">
        <v>20</v>
      </c>
      <c r="N13" s="18" t="s">
        <v>21</v>
      </c>
      <c r="O13" s="18" t="s">
        <v>22</v>
      </c>
      <c r="Q13" s="18" t="s">
        <v>24</v>
      </c>
      <c r="R13" s="18" t="s">
        <v>26</v>
      </c>
      <c r="S13" s="18" t="s">
        <v>28</v>
      </c>
      <c r="T13" s="6" t="s">
        <v>29</v>
      </c>
    </row>
    <row r="14" spans="3:23" ht="11.25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1.25">
      <c r="A15" s="5" t="s">
        <v>3</v>
      </c>
      <c r="C15" s="33">
        <v>261.8</v>
      </c>
      <c r="D15" s="33">
        <v>45.32</v>
      </c>
      <c r="E15" s="33">
        <v>55.63</v>
      </c>
      <c r="F15" s="33">
        <v>50.87</v>
      </c>
      <c r="G15" s="33">
        <v>3.62</v>
      </c>
      <c r="H15" s="33">
        <f aca="true" t="shared" si="0" ref="H15:H26">SUM(C15:G15)</f>
        <v>417.24</v>
      </c>
      <c r="I15" s="19"/>
      <c r="J15" s="33">
        <v>231.14</v>
      </c>
      <c r="K15" s="33">
        <v>47.16</v>
      </c>
      <c r="L15" s="33">
        <v>49.22</v>
      </c>
      <c r="M15" s="33">
        <v>51.57</v>
      </c>
      <c r="N15" s="33">
        <v>3.33</v>
      </c>
      <c r="O15" s="33">
        <f aca="true" t="shared" si="1" ref="O15:O26">SUM(J15:N15)</f>
        <v>382.41999999999996</v>
      </c>
      <c r="P15" s="19"/>
      <c r="Q15" s="19">
        <f>+H15-O15</f>
        <v>34.82000000000005</v>
      </c>
      <c r="R15" s="53">
        <v>0.000605</v>
      </c>
      <c r="S15" s="19">
        <v>12.31</v>
      </c>
      <c r="T15" s="19">
        <f>+ROUND(-Q15/R15*S15,2)</f>
        <v>-708486.28</v>
      </c>
      <c r="U15" s="19"/>
      <c r="V15" s="19"/>
      <c r="W15" s="19"/>
    </row>
    <row r="16" spans="1:23" ht="11.25">
      <c r="A16" s="5" t="s">
        <v>4</v>
      </c>
      <c r="C16" s="33">
        <v>230.75</v>
      </c>
      <c r="D16" s="33">
        <v>39.4</v>
      </c>
      <c r="E16" s="33">
        <v>49.03</v>
      </c>
      <c r="F16" s="33">
        <v>55.65</v>
      </c>
      <c r="G16" s="33">
        <v>3.14</v>
      </c>
      <c r="H16" s="33">
        <f t="shared" si="0"/>
        <v>377.9699999999999</v>
      </c>
      <c r="I16" s="19"/>
      <c r="J16" s="33">
        <v>213.97</v>
      </c>
      <c r="K16" s="33">
        <v>41</v>
      </c>
      <c r="L16" s="33">
        <v>45.56</v>
      </c>
      <c r="M16" s="33">
        <v>56.41</v>
      </c>
      <c r="N16" s="33">
        <v>2.9</v>
      </c>
      <c r="O16" s="33">
        <f t="shared" si="1"/>
        <v>359.8399999999999</v>
      </c>
      <c r="P16" s="19"/>
      <c r="Q16" s="19">
        <f aca="true" t="shared" si="2" ref="Q16:Q26">+H16-O16</f>
        <v>18.129999999999995</v>
      </c>
      <c r="R16" s="53">
        <v>0.000605</v>
      </c>
      <c r="S16" s="19">
        <v>12.4</v>
      </c>
      <c r="T16" s="19">
        <f aca="true" t="shared" si="3" ref="T16:T26">+ROUND(-Q16/R16*S16,2)</f>
        <v>-371590.08</v>
      </c>
      <c r="U16" s="19"/>
      <c r="V16" s="19"/>
      <c r="W16" s="19"/>
    </row>
    <row r="17" spans="1:23" ht="11.25">
      <c r="A17" s="5" t="s">
        <v>5</v>
      </c>
      <c r="C17" s="33">
        <v>257.96</v>
      </c>
      <c r="D17" s="33">
        <v>35.46</v>
      </c>
      <c r="E17" s="33">
        <v>54.81</v>
      </c>
      <c r="F17" s="33">
        <v>79.47</v>
      </c>
      <c r="G17" s="33">
        <v>4.01</v>
      </c>
      <c r="H17" s="33">
        <f t="shared" si="0"/>
        <v>431.7099999999999</v>
      </c>
      <c r="I17" s="19"/>
      <c r="J17" s="33">
        <v>215.35</v>
      </c>
      <c r="K17" s="33">
        <v>36.9</v>
      </c>
      <c r="L17" s="33">
        <v>45.85</v>
      </c>
      <c r="M17" s="33">
        <v>91.14</v>
      </c>
      <c r="N17" s="33">
        <v>3.7</v>
      </c>
      <c r="O17" s="33">
        <f t="shared" si="1"/>
        <v>392.94</v>
      </c>
      <c r="P17" s="19"/>
      <c r="Q17" s="19">
        <f t="shared" si="2"/>
        <v>38.769999999999925</v>
      </c>
      <c r="R17" s="53">
        <v>0.000605</v>
      </c>
      <c r="S17" s="19">
        <v>12.43</v>
      </c>
      <c r="T17" s="19">
        <f t="shared" si="3"/>
        <v>-796547.27</v>
      </c>
      <c r="U17" s="19"/>
      <c r="V17" s="19"/>
      <c r="W17" s="19"/>
    </row>
    <row r="18" spans="1:23" ht="11.25">
      <c r="A18" s="5" t="s">
        <v>6</v>
      </c>
      <c r="C18" s="33">
        <v>223.72</v>
      </c>
      <c r="D18" s="33">
        <v>22.68</v>
      </c>
      <c r="E18" s="33">
        <v>47.54</v>
      </c>
      <c r="F18" s="33">
        <v>56.75</v>
      </c>
      <c r="G18" s="33">
        <v>5.09</v>
      </c>
      <c r="H18" s="33">
        <f t="shared" si="0"/>
        <v>355.78</v>
      </c>
      <c r="I18" s="19"/>
      <c r="J18" s="33">
        <v>236.83</v>
      </c>
      <c r="K18" s="33">
        <v>23.6</v>
      </c>
      <c r="L18" s="33">
        <v>50.42</v>
      </c>
      <c r="M18" s="33">
        <v>46.95</v>
      </c>
      <c r="N18" s="33">
        <v>4.7</v>
      </c>
      <c r="O18" s="33">
        <f t="shared" si="1"/>
        <v>362.5</v>
      </c>
      <c r="P18" s="19"/>
      <c r="Q18" s="19">
        <f t="shared" si="2"/>
        <v>-6.720000000000027</v>
      </c>
      <c r="R18" s="53">
        <v>0.000605</v>
      </c>
      <c r="S18" s="19">
        <v>12.45</v>
      </c>
      <c r="T18" s="19">
        <f t="shared" si="3"/>
        <v>138287.6</v>
      </c>
      <c r="U18" s="19"/>
      <c r="V18" s="19"/>
      <c r="W18" s="19"/>
    </row>
    <row r="19" spans="1:23" ht="11.25">
      <c r="A19" s="5" t="s">
        <v>7</v>
      </c>
      <c r="C19" s="33">
        <v>177.53</v>
      </c>
      <c r="D19" s="33">
        <v>23.66</v>
      </c>
      <c r="E19" s="33">
        <v>37.71</v>
      </c>
      <c r="F19" s="33">
        <v>79.47</v>
      </c>
      <c r="G19" s="33">
        <v>4.23</v>
      </c>
      <c r="H19" s="33">
        <f t="shared" si="0"/>
        <v>322.6</v>
      </c>
      <c r="I19" s="19"/>
      <c r="J19" s="33">
        <v>207.77</v>
      </c>
      <c r="K19" s="33">
        <v>24.62</v>
      </c>
      <c r="L19" s="33">
        <v>44.24</v>
      </c>
      <c r="M19" s="33">
        <v>88.16</v>
      </c>
      <c r="N19" s="33">
        <v>3.9</v>
      </c>
      <c r="O19" s="33">
        <f t="shared" si="1"/>
        <v>368.68999999999994</v>
      </c>
      <c r="P19" s="19"/>
      <c r="Q19" s="19">
        <f t="shared" si="2"/>
        <v>-46.08999999999992</v>
      </c>
      <c r="R19" s="53">
        <v>0.000605</v>
      </c>
      <c r="S19" s="19">
        <v>12.45</v>
      </c>
      <c r="T19" s="19">
        <f t="shared" si="3"/>
        <v>948463.64</v>
      </c>
      <c r="U19" s="19"/>
      <c r="V19" s="19"/>
      <c r="W19" s="19"/>
    </row>
    <row r="20" spans="1:23" ht="11.25">
      <c r="A20" s="5" t="s">
        <v>8</v>
      </c>
      <c r="C20" s="33">
        <v>182.44</v>
      </c>
      <c r="D20" s="33">
        <v>22.68</v>
      </c>
      <c r="E20" s="33">
        <v>38.76</v>
      </c>
      <c r="F20" s="33">
        <v>76.16</v>
      </c>
      <c r="G20" s="33">
        <v>2.18</v>
      </c>
      <c r="H20" s="33">
        <f t="shared" si="0"/>
        <v>322.21999999999997</v>
      </c>
      <c r="I20" s="19"/>
      <c r="J20" s="33">
        <v>183.83</v>
      </c>
      <c r="K20" s="33">
        <v>11.78</v>
      </c>
      <c r="L20" s="33">
        <v>39.13</v>
      </c>
      <c r="M20" s="33">
        <v>88.16</v>
      </c>
      <c r="N20" s="33">
        <v>2.01</v>
      </c>
      <c r="O20" s="33">
        <f t="shared" si="1"/>
        <v>324.90999999999997</v>
      </c>
      <c r="P20" s="19"/>
      <c r="Q20" s="19">
        <f t="shared" si="2"/>
        <v>-2.6899999999999977</v>
      </c>
      <c r="R20" s="53">
        <v>0.000605</v>
      </c>
      <c r="S20" s="19">
        <v>12.45</v>
      </c>
      <c r="T20" s="19">
        <f t="shared" si="3"/>
        <v>55356.2</v>
      </c>
      <c r="U20" s="19"/>
      <c r="V20" s="19"/>
      <c r="W20" s="19"/>
    </row>
    <row r="21" spans="1:23" ht="11.25">
      <c r="A21" s="5" t="s">
        <v>9</v>
      </c>
      <c r="C21" s="33">
        <v>266.56</v>
      </c>
      <c r="D21" s="33">
        <v>19.72</v>
      </c>
      <c r="E21" s="33">
        <v>56.63</v>
      </c>
      <c r="F21" s="33">
        <v>49.48</v>
      </c>
      <c r="G21" s="33">
        <v>1.5</v>
      </c>
      <c r="H21" s="33">
        <f t="shared" si="0"/>
        <v>393.89</v>
      </c>
      <c r="I21" s="19"/>
      <c r="J21" s="33">
        <v>198.29</v>
      </c>
      <c r="K21" s="33">
        <v>20.52</v>
      </c>
      <c r="L21" s="33">
        <v>42.22</v>
      </c>
      <c r="M21" s="33">
        <v>39.12</v>
      </c>
      <c r="N21" s="33">
        <v>1.38</v>
      </c>
      <c r="O21" s="33">
        <f t="shared" si="1"/>
        <v>301.53</v>
      </c>
      <c r="P21" s="19"/>
      <c r="Q21" s="19">
        <f t="shared" si="2"/>
        <v>92.36000000000001</v>
      </c>
      <c r="R21" s="53">
        <v>0.000605</v>
      </c>
      <c r="S21" s="19">
        <v>12.48</v>
      </c>
      <c r="T21" s="19">
        <f t="shared" si="3"/>
        <v>-1905211.24</v>
      </c>
      <c r="U21" s="19"/>
      <c r="V21" s="19"/>
      <c r="W21" s="19"/>
    </row>
    <row r="22" spans="1:23" ht="11.25">
      <c r="A22" s="5" t="s">
        <v>10</v>
      </c>
      <c r="C22" s="33">
        <v>260.39</v>
      </c>
      <c r="D22" s="33">
        <v>15.77</v>
      </c>
      <c r="E22" s="33">
        <v>55.33</v>
      </c>
      <c r="F22" s="33">
        <v>54.4</v>
      </c>
      <c r="G22" s="33">
        <v>1.64</v>
      </c>
      <c r="H22" s="33">
        <f t="shared" si="0"/>
        <v>387.5299999999999</v>
      </c>
      <c r="I22" s="19"/>
      <c r="J22" s="33">
        <v>189.08</v>
      </c>
      <c r="K22" s="33">
        <v>16.42</v>
      </c>
      <c r="L22" s="33">
        <v>40.25</v>
      </c>
      <c r="M22" s="33">
        <v>55.15</v>
      </c>
      <c r="N22" s="33">
        <v>1.51</v>
      </c>
      <c r="O22" s="33">
        <f t="shared" si="1"/>
        <v>302.40999999999997</v>
      </c>
      <c r="P22" s="19"/>
      <c r="Q22" s="19">
        <f t="shared" si="2"/>
        <v>85.11999999999995</v>
      </c>
      <c r="R22" s="53">
        <v>0.000605</v>
      </c>
      <c r="S22" s="19">
        <v>12.48</v>
      </c>
      <c r="T22" s="19">
        <f t="shared" si="3"/>
        <v>-1755863.8</v>
      </c>
      <c r="U22" s="19"/>
      <c r="V22" s="19"/>
      <c r="W22" s="19"/>
    </row>
    <row r="23" spans="1:23" ht="11.25">
      <c r="A23" s="5" t="s">
        <v>11</v>
      </c>
      <c r="C23" s="33">
        <v>152.9</v>
      </c>
      <c r="D23" s="33">
        <v>17.75</v>
      </c>
      <c r="E23" s="33">
        <v>32.49</v>
      </c>
      <c r="F23" s="33">
        <v>64.91</v>
      </c>
      <c r="G23" s="33">
        <v>2</v>
      </c>
      <c r="H23" s="33">
        <f t="shared" si="0"/>
        <v>270.05</v>
      </c>
      <c r="I23" s="19"/>
      <c r="J23" s="33">
        <v>178.12</v>
      </c>
      <c r="K23" s="33">
        <v>18.47</v>
      </c>
      <c r="L23" s="33">
        <v>37.92</v>
      </c>
      <c r="M23" s="33">
        <v>65.8</v>
      </c>
      <c r="N23" s="33">
        <v>1.86</v>
      </c>
      <c r="O23" s="33">
        <f t="shared" si="1"/>
        <v>302.17</v>
      </c>
      <c r="P23" s="19"/>
      <c r="Q23" s="19">
        <f t="shared" si="2"/>
        <v>-32.120000000000005</v>
      </c>
      <c r="R23" s="53">
        <v>0.000605</v>
      </c>
      <c r="S23" s="19">
        <v>12.49</v>
      </c>
      <c r="T23" s="19">
        <f t="shared" si="3"/>
        <v>663105.45</v>
      </c>
      <c r="U23" s="19"/>
      <c r="V23" s="19"/>
      <c r="W23" s="19"/>
    </row>
    <row r="24" spans="1:23" ht="11.25">
      <c r="A24" s="5" t="s">
        <v>12</v>
      </c>
      <c r="C24" s="33">
        <v>168.97</v>
      </c>
      <c r="D24" s="33">
        <v>28.59</v>
      </c>
      <c r="E24" s="33">
        <v>35.9</v>
      </c>
      <c r="F24" s="33">
        <v>55.65</v>
      </c>
      <c r="G24" s="33">
        <v>3.37</v>
      </c>
      <c r="H24" s="33">
        <f t="shared" si="0"/>
        <v>292.48</v>
      </c>
      <c r="I24" s="19"/>
      <c r="J24" s="33">
        <v>206.71</v>
      </c>
      <c r="K24" s="33">
        <v>29.75</v>
      </c>
      <c r="L24" s="33">
        <v>44.01</v>
      </c>
      <c r="M24" s="33">
        <v>56.41</v>
      </c>
      <c r="N24" s="33">
        <v>3.11</v>
      </c>
      <c r="O24" s="33">
        <f t="shared" si="1"/>
        <v>339.99</v>
      </c>
      <c r="P24" s="19"/>
      <c r="Q24" s="19">
        <f t="shared" si="2"/>
        <v>-47.50999999999999</v>
      </c>
      <c r="R24" s="53">
        <v>0.000605</v>
      </c>
      <c r="S24" s="19">
        <v>12.49</v>
      </c>
      <c r="T24" s="19">
        <f t="shared" si="3"/>
        <v>980826.28</v>
      </c>
      <c r="U24" s="19"/>
      <c r="V24" s="19"/>
      <c r="W24" s="19"/>
    </row>
    <row r="25" spans="1:23" ht="11.25">
      <c r="A25" s="5" t="s">
        <v>13</v>
      </c>
      <c r="C25" s="33">
        <v>184.08</v>
      </c>
      <c r="D25" s="33">
        <v>33.52</v>
      </c>
      <c r="E25" s="33">
        <v>39.11</v>
      </c>
      <c r="F25" s="33">
        <v>59.03</v>
      </c>
      <c r="G25" s="33">
        <v>4.31</v>
      </c>
      <c r="H25" s="33">
        <f t="shared" si="0"/>
        <v>320.05</v>
      </c>
      <c r="I25" s="19"/>
      <c r="J25" s="33">
        <v>217.68</v>
      </c>
      <c r="K25" s="33">
        <v>34.88</v>
      </c>
      <c r="L25" s="33">
        <v>46.35</v>
      </c>
      <c r="M25" s="33">
        <v>59.84</v>
      </c>
      <c r="N25" s="33">
        <v>3.97</v>
      </c>
      <c r="O25" s="33">
        <f t="shared" si="1"/>
        <v>362.72</v>
      </c>
      <c r="P25" s="19"/>
      <c r="Q25" s="19">
        <f t="shared" si="2"/>
        <v>-42.670000000000016</v>
      </c>
      <c r="R25" s="53">
        <v>0.000605</v>
      </c>
      <c r="S25" s="19">
        <v>12.5</v>
      </c>
      <c r="T25" s="19">
        <f t="shared" si="3"/>
        <v>881611.57</v>
      </c>
      <c r="U25" s="19"/>
      <c r="V25" s="19"/>
      <c r="W25" s="19"/>
    </row>
    <row r="26" spans="1:23" ht="11.25">
      <c r="A26" s="5" t="s">
        <v>14</v>
      </c>
      <c r="C26" s="37">
        <v>230.9</v>
      </c>
      <c r="D26" s="37">
        <v>35.45</v>
      </c>
      <c r="E26" s="37">
        <v>49.06</v>
      </c>
      <c r="F26" s="37">
        <v>53.16</v>
      </c>
      <c r="G26" s="37">
        <v>4.28</v>
      </c>
      <c r="H26" s="37">
        <f t="shared" si="0"/>
        <v>372.85</v>
      </c>
      <c r="I26" s="19"/>
      <c r="J26" s="37">
        <v>262.23</v>
      </c>
      <c r="K26" s="37">
        <v>36.9</v>
      </c>
      <c r="L26" s="37">
        <v>55.84</v>
      </c>
      <c r="M26" s="37">
        <v>46.29</v>
      </c>
      <c r="N26" s="37">
        <v>3.94</v>
      </c>
      <c r="O26" s="37">
        <f t="shared" si="1"/>
        <v>405.20000000000005</v>
      </c>
      <c r="P26" s="19"/>
      <c r="Q26" s="19">
        <f t="shared" si="2"/>
        <v>-32.35000000000002</v>
      </c>
      <c r="R26" s="53">
        <v>0.000605</v>
      </c>
      <c r="S26" s="19">
        <v>12.5</v>
      </c>
      <c r="T26" s="19">
        <f t="shared" si="3"/>
        <v>668388.43</v>
      </c>
      <c r="U26" s="19"/>
      <c r="V26" s="19"/>
      <c r="W26" s="19"/>
    </row>
    <row r="27" spans="3:23" ht="11.25">
      <c r="C27" s="33"/>
      <c r="D27" s="33"/>
      <c r="E27" s="33"/>
      <c r="F27" s="33"/>
      <c r="G27" s="33"/>
      <c r="H27" s="33"/>
      <c r="I27" s="19"/>
      <c r="J27" s="33"/>
      <c r="K27" s="33"/>
      <c r="L27" s="33"/>
      <c r="M27" s="33"/>
      <c r="N27" s="33"/>
      <c r="O27" s="33"/>
      <c r="P27" s="19"/>
      <c r="Q27" s="19"/>
      <c r="R27" s="19"/>
      <c r="S27" s="19"/>
      <c r="T27" s="19"/>
      <c r="U27" s="19"/>
      <c r="V27" s="19"/>
      <c r="W27" s="19"/>
    </row>
    <row r="28" spans="3:23" ht="12" thickBot="1">
      <c r="C28" s="38">
        <f aca="true" t="shared" si="4" ref="C28:H28">SUM(C15:C26)</f>
        <v>2598</v>
      </c>
      <c r="D28" s="38">
        <f t="shared" si="4"/>
        <v>340</v>
      </c>
      <c r="E28" s="38">
        <f t="shared" si="4"/>
        <v>552</v>
      </c>
      <c r="F28" s="38">
        <f t="shared" si="4"/>
        <v>734.9999999999999</v>
      </c>
      <c r="G28" s="38">
        <f t="shared" si="4"/>
        <v>39.370000000000005</v>
      </c>
      <c r="H28" s="38">
        <f t="shared" si="4"/>
        <v>4264.37</v>
      </c>
      <c r="I28" s="19"/>
      <c r="J28" s="38">
        <f aca="true" t="shared" si="5" ref="J28:O28">SUM(J15:J26)</f>
        <v>2541</v>
      </c>
      <c r="K28" s="38">
        <f t="shared" si="5"/>
        <v>342</v>
      </c>
      <c r="L28" s="38">
        <f t="shared" si="5"/>
        <v>541.01</v>
      </c>
      <c r="M28" s="38">
        <f t="shared" si="5"/>
        <v>744.9999999999999</v>
      </c>
      <c r="N28" s="38">
        <f t="shared" si="5"/>
        <v>36.309999999999995</v>
      </c>
      <c r="O28" s="38">
        <f t="shared" si="5"/>
        <v>4205.32</v>
      </c>
      <c r="P28" s="19"/>
      <c r="Q28" s="34">
        <f>SUM(Q15:Q27)</f>
        <v>59.049999999999955</v>
      </c>
      <c r="R28" s="19"/>
      <c r="S28" s="19"/>
      <c r="T28" s="34">
        <f>SUM(T15:T27)</f>
        <v>-1201659.5</v>
      </c>
      <c r="U28" s="19"/>
      <c r="V28" s="19"/>
      <c r="W28" s="19"/>
    </row>
    <row r="29" spans="3:23" ht="12" thickTop="1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3:23" ht="11.2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3:23" ht="11.2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3:23" ht="11.2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3:23" ht="11.2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3:23" ht="11.2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3:23" ht="11.2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7" ht="11.25">
      <c r="A37" s="1"/>
    </row>
    <row r="38" spans="1:3" ht="11.25">
      <c r="A38" s="2"/>
      <c r="C38" s="3"/>
    </row>
  </sheetData>
  <printOptions verticalCentered="1"/>
  <pageMargins left="0.5" right="0.5" top="1" bottom="1" header="0.5" footer="0.5"/>
  <pageSetup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G10">
      <selection activeCell="G38" sqref="G38"/>
    </sheetView>
  </sheetViews>
  <sheetFormatPr defaultColWidth="9.140625" defaultRowHeight="12.75"/>
  <cols>
    <col min="1" max="1" width="9.140625" style="5" customWidth="1"/>
    <col min="2" max="4" width="12.7109375" style="5" customWidth="1"/>
    <col min="5" max="7" width="9.7109375" style="5" customWidth="1"/>
    <col min="8" max="9" width="12.7109375" style="5" customWidth="1"/>
    <col min="10" max="14" width="7.7109375" style="5" customWidth="1"/>
    <col min="15" max="15" width="2.7109375" style="5" customWidth="1"/>
    <col min="16" max="16" width="12.7109375" style="5" customWidth="1"/>
    <col min="17" max="19" width="9.7109375" style="5" customWidth="1"/>
    <col min="20" max="20" width="12.7109375" style="5" customWidth="1"/>
    <col min="21" max="16384" width="9.140625" style="5" customWidth="1"/>
  </cols>
  <sheetData>
    <row r="1" spans="1:21" ht="11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5" t="s">
        <v>109</v>
      </c>
    </row>
    <row r="2" spans="1:20" ht="11.2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1.25">
      <c r="A3" s="13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1.25">
      <c r="A4" s="13" t="str">
        <f>Summary!$A$4</f>
        <v>Forecast 2001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7" spans="2:25" ht="11.25">
      <c r="B7" s="6">
        <v>1992</v>
      </c>
      <c r="C7" s="7" t="s">
        <v>110</v>
      </c>
      <c r="D7" s="6" t="s">
        <v>31</v>
      </c>
      <c r="E7" s="6"/>
      <c r="F7" s="6" t="s">
        <v>32</v>
      </c>
      <c r="G7" s="6" t="s">
        <v>33</v>
      </c>
      <c r="H7" s="6"/>
      <c r="I7" s="6" t="s">
        <v>23</v>
      </c>
      <c r="J7" s="6">
        <v>1992</v>
      </c>
      <c r="K7" s="6" t="s">
        <v>34</v>
      </c>
      <c r="L7" s="6"/>
      <c r="M7" s="6" t="s">
        <v>35</v>
      </c>
      <c r="N7" s="6" t="s">
        <v>35</v>
      </c>
      <c r="O7" s="6"/>
      <c r="P7" s="6" t="s">
        <v>36</v>
      </c>
      <c r="Q7" s="6"/>
      <c r="R7" s="6" t="s">
        <v>32</v>
      </c>
      <c r="S7" s="6" t="s">
        <v>33</v>
      </c>
      <c r="T7" s="6"/>
      <c r="U7" s="6"/>
      <c r="V7" s="6"/>
      <c r="W7" s="6"/>
      <c r="X7" s="6"/>
      <c r="Y7" s="6"/>
    </row>
    <row r="8" spans="2:25" ht="11.25">
      <c r="B8" s="6" t="s">
        <v>27</v>
      </c>
      <c r="C8" s="6" t="s">
        <v>112</v>
      </c>
      <c r="D8" s="6" t="s">
        <v>37</v>
      </c>
      <c r="E8" s="6" t="s">
        <v>38</v>
      </c>
      <c r="F8" s="6" t="s">
        <v>39</v>
      </c>
      <c r="G8" s="6" t="s">
        <v>40</v>
      </c>
      <c r="H8" s="6" t="s">
        <v>23</v>
      </c>
      <c r="I8" s="6" t="s">
        <v>41</v>
      </c>
      <c r="J8" s="6" t="s">
        <v>27</v>
      </c>
      <c r="K8" s="6" t="s">
        <v>42</v>
      </c>
      <c r="L8" s="6" t="str">
        <f>+C8</f>
        <v>Forecast</v>
      </c>
      <c r="M8" s="6" t="str">
        <f>+C8</f>
        <v>Forecast</v>
      </c>
      <c r="N8" s="6" t="s">
        <v>43</v>
      </c>
      <c r="O8" s="6"/>
      <c r="P8" s="6" t="s">
        <v>44</v>
      </c>
      <c r="Q8" s="6" t="s">
        <v>38</v>
      </c>
      <c r="R8" s="6" t="s">
        <v>39</v>
      </c>
      <c r="S8" s="6" t="s">
        <v>40</v>
      </c>
      <c r="T8" s="6" t="s">
        <v>45</v>
      </c>
      <c r="U8" s="6"/>
      <c r="V8" s="6"/>
      <c r="W8" s="6"/>
      <c r="X8" s="6"/>
      <c r="Y8" s="6"/>
    </row>
    <row r="9" spans="2:25" ht="11.25">
      <c r="B9" s="6" t="s">
        <v>41</v>
      </c>
      <c r="C9" s="6" t="s">
        <v>41</v>
      </c>
      <c r="D9" s="6" t="s">
        <v>41</v>
      </c>
      <c r="E9" s="6" t="s">
        <v>41</v>
      </c>
      <c r="F9" s="6" t="s">
        <v>41</v>
      </c>
      <c r="G9" s="6" t="s">
        <v>41</v>
      </c>
      <c r="H9" s="6" t="s">
        <v>41</v>
      </c>
      <c r="I9" s="6" t="s">
        <v>24</v>
      </c>
      <c r="J9" s="6" t="s">
        <v>46</v>
      </c>
      <c r="K9" s="6" t="s">
        <v>28</v>
      </c>
      <c r="L9" s="6" t="s">
        <v>46</v>
      </c>
      <c r="M9" s="6" t="s">
        <v>28</v>
      </c>
      <c r="N9" s="6" t="s">
        <v>24</v>
      </c>
      <c r="O9" s="6"/>
      <c r="P9" s="6" t="s">
        <v>47</v>
      </c>
      <c r="Q9" s="6"/>
      <c r="R9" s="6"/>
      <c r="S9" s="6"/>
      <c r="T9" s="6"/>
      <c r="U9" s="6"/>
      <c r="V9" s="6"/>
      <c r="W9" s="6"/>
      <c r="X9" s="6"/>
      <c r="Y9" s="6"/>
    </row>
    <row r="11" ht="11.25">
      <c r="I11" s="40"/>
    </row>
    <row r="12" spans="1:20" ht="11.25">
      <c r="A12" s="5" t="s">
        <v>3</v>
      </c>
      <c r="B12" s="40">
        <v>442711</v>
      </c>
      <c r="C12" s="40">
        <v>456639</v>
      </c>
      <c r="D12" s="40">
        <f>-G35</f>
        <v>0</v>
      </c>
      <c r="E12" s="40">
        <v>0</v>
      </c>
      <c r="F12" s="40">
        <v>0</v>
      </c>
      <c r="G12" s="40">
        <v>0</v>
      </c>
      <c r="H12" s="40">
        <f>SUM(C12:G12)</f>
        <v>456639</v>
      </c>
      <c r="I12" s="40">
        <f>+H12-B12</f>
        <v>13928</v>
      </c>
      <c r="J12" s="47">
        <v>12.3126</v>
      </c>
      <c r="K12" s="19">
        <f>ROUND(J12,2)</f>
        <v>12.31</v>
      </c>
      <c r="L12" s="47">
        <v>36.7077</v>
      </c>
      <c r="M12" s="19">
        <f>ROUND(L12,2)</f>
        <v>36.71</v>
      </c>
      <c r="N12" s="19">
        <f>+M12-K12</f>
        <v>24.4</v>
      </c>
      <c r="P12" s="9">
        <f>+H12*N12</f>
        <v>11141991.6</v>
      </c>
      <c r="Q12" s="9">
        <f>+E12*2.99</f>
        <v>0</v>
      </c>
      <c r="R12" s="9">
        <f>+F12*18.36</f>
        <v>0</v>
      </c>
      <c r="S12" s="9">
        <f>+G12*37.79</f>
        <v>0</v>
      </c>
      <c r="T12" s="9">
        <f>SUM(P12:S12)</f>
        <v>11141991.6</v>
      </c>
    </row>
    <row r="13" spans="1:20" ht="11.25">
      <c r="A13" s="5" t="s">
        <v>4</v>
      </c>
      <c r="B13" s="40">
        <v>414149</v>
      </c>
      <c r="C13" s="40">
        <v>412459</v>
      </c>
      <c r="D13" s="40">
        <f aca="true" t="shared" si="0" ref="D13:D23">-G36</f>
        <v>0</v>
      </c>
      <c r="E13" s="40">
        <v>0</v>
      </c>
      <c r="F13" s="40">
        <v>0</v>
      </c>
      <c r="G13" s="40">
        <v>0</v>
      </c>
      <c r="H13" s="40">
        <f aca="true" t="shared" si="1" ref="H13:H23">SUM(C13:G13)</f>
        <v>412459</v>
      </c>
      <c r="I13" s="40">
        <f aca="true" t="shared" si="2" ref="I13:I23">+H13-B13</f>
        <v>-1690</v>
      </c>
      <c r="J13" s="47">
        <v>12.3996</v>
      </c>
      <c r="K13" s="19">
        <f aca="true" t="shared" si="3" ref="K13:K23">ROUND(J13,2)</f>
        <v>12.4</v>
      </c>
      <c r="L13" s="47">
        <v>35.7455</v>
      </c>
      <c r="M13" s="19">
        <f aca="true" t="shared" si="4" ref="M13:M23">ROUND(L13,2)</f>
        <v>35.75</v>
      </c>
      <c r="N13" s="19">
        <f aca="true" t="shared" si="5" ref="N13:N23">+M13-K13</f>
        <v>23.35</v>
      </c>
      <c r="P13" s="9">
        <f aca="true" t="shared" si="6" ref="P13:P22">+H13*N13</f>
        <v>9630917.65</v>
      </c>
      <c r="Q13" s="9">
        <f aca="true" t="shared" si="7" ref="Q13:Q22">+E13*2.99</f>
        <v>0</v>
      </c>
      <c r="R13" s="9">
        <f aca="true" t="shared" si="8" ref="R13:R22">+F13*18.36</f>
        <v>0</v>
      </c>
      <c r="S13" s="9">
        <f aca="true" t="shared" si="9" ref="S13:S22">+G13*37.79</f>
        <v>0</v>
      </c>
      <c r="T13" s="9">
        <f aca="true" t="shared" si="10" ref="T13:T22">SUM(P13:S13)</f>
        <v>9630917.65</v>
      </c>
    </row>
    <row r="14" spans="1:20" ht="11.25">
      <c r="A14" s="5" t="s">
        <v>5</v>
      </c>
      <c r="B14" s="40">
        <v>348446</v>
      </c>
      <c r="C14" s="40">
        <v>342492</v>
      </c>
      <c r="D14" s="40">
        <f t="shared" si="0"/>
        <v>0</v>
      </c>
      <c r="E14" s="40">
        <v>0</v>
      </c>
      <c r="F14" s="40">
        <v>0</v>
      </c>
      <c r="G14" s="40">
        <v>0</v>
      </c>
      <c r="H14" s="40">
        <f t="shared" si="1"/>
        <v>342492</v>
      </c>
      <c r="I14" s="40">
        <f t="shared" si="2"/>
        <v>-5954</v>
      </c>
      <c r="J14" s="47">
        <v>12.4271</v>
      </c>
      <c r="K14" s="19">
        <f t="shared" si="3"/>
        <v>12.43</v>
      </c>
      <c r="L14" s="47">
        <v>34.5345</v>
      </c>
      <c r="M14" s="19">
        <f t="shared" si="4"/>
        <v>34.53</v>
      </c>
      <c r="N14" s="19">
        <f t="shared" si="5"/>
        <v>22.1</v>
      </c>
      <c r="P14" s="9">
        <f t="shared" si="6"/>
        <v>7569073.2</v>
      </c>
      <c r="Q14" s="9">
        <f t="shared" si="7"/>
        <v>0</v>
      </c>
      <c r="R14" s="9">
        <f t="shared" si="8"/>
        <v>0</v>
      </c>
      <c r="S14" s="9">
        <f t="shared" si="9"/>
        <v>0</v>
      </c>
      <c r="T14" s="9">
        <f t="shared" si="10"/>
        <v>7569073.2</v>
      </c>
    </row>
    <row r="15" spans="1:20" ht="11.25">
      <c r="A15" s="5" t="s">
        <v>6</v>
      </c>
      <c r="B15" s="40">
        <v>273719</v>
      </c>
      <c r="C15" s="40">
        <v>294607</v>
      </c>
      <c r="D15" s="40">
        <f t="shared" si="0"/>
        <v>0</v>
      </c>
      <c r="E15" s="40">
        <v>0</v>
      </c>
      <c r="F15" s="40">
        <v>0</v>
      </c>
      <c r="G15" s="40">
        <v>0</v>
      </c>
      <c r="H15" s="40">
        <f t="shared" si="1"/>
        <v>294607</v>
      </c>
      <c r="I15" s="40">
        <f t="shared" si="2"/>
        <v>20888</v>
      </c>
      <c r="J15" s="47">
        <v>12.4495</v>
      </c>
      <c r="K15" s="19">
        <f t="shared" si="3"/>
        <v>12.45</v>
      </c>
      <c r="L15" s="47">
        <v>32.849</v>
      </c>
      <c r="M15" s="19">
        <f t="shared" si="4"/>
        <v>32.85</v>
      </c>
      <c r="N15" s="19">
        <f t="shared" si="5"/>
        <v>20.400000000000002</v>
      </c>
      <c r="P15" s="9">
        <f t="shared" si="6"/>
        <v>6009982.800000001</v>
      </c>
      <c r="Q15" s="9">
        <f t="shared" si="7"/>
        <v>0</v>
      </c>
      <c r="R15" s="9">
        <f t="shared" si="8"/>
        <v>0</v>
      </c>
      <c r="S15" s="9">
        <f t="shared" si="9"/>
        <v>0</v>
      </c>
      <c r="T15" s="9">
        <f t="shared" si="10"/>
        <v>6009982.800000001</v>
      </c>
    </row>
    <row r="16" spans="1:20" ht="11.25">
      <c r="A16" s="5" t="s">
        <v>7</v>
      </c>
      <c r="B16" s="40">
        <v>169091</v>
      </c>
      <c r="C16" s="40">
        <v>228328</v>
      </c>
      <c r="D16" s="40">
        <f t="shared" si="0"/>
        <v>0</v>
      </c>
      <c r="E16" s="40">
        <v>0</v>
      </c>
      <c r="F16" s="40">
        <v>0</v>
      </c>
      <c r="G16" s="40">
        <v>0</v>
      </c>
      <c r="H16" s="40">
        <f t="shared" si="1"/>
        <v>228328</v>
      </c>
      <c r="I16" s="40">
        <f t="shared" si="2"/>
        <v>59237</v>
      </c>
      <c r="J16" s="47">
        <v>12.4495</v>
      </c>
      <c r="K16" s="19">
        <f t="shared" si="3"/>
        <v>12.45</v>
      </c>
      <c r="L16" s="47">
        <v>31.6002</v>
      </c>
      <c r="M16" s="19">
        <f t="shared" si="4"/>
        <v>31.6</v>
      </c>
      <c r="N16" s="19">
        <f t="shared" si="5"/>
        <v>19.150000000000002</v>
      </c>
      <c r="P16" s="9">
        <f t="shared" si="6"/>
        <v>4372481.2</v>
      </c>
      <c r="Q16" s="9">
        <f t="shared" si="7"/>
        <v>0</v>
      </c>
      <c r="R16" s="9">
        <f t="shared" si="8"/>
        <v>0</v>
      </c>
      <c r="S16" s="9">
        <f t="shared" si="9"/>
        <v>0</v>
      </c>
      <c r="T16" s="9">
        <f t="shared" si="10"/>
        <v>4372481.2</v>
      </c>
    </row>
    <row r="17" spans="1:20" ht="11.25">
      <c r="A17" s="5" t="s">
        <v>8</v>
      </c>
      <c r="B17" s="40">
        <v>130909</v>
      </c>
      <c r="C17" s="40">
        <v>147311</v>
      </c>
      <c r="D17" s="40">
        <f t="shared" si="0"/>
        <v>0</v>
      </c>
      <c r="E17" s="40">
        <v>0</v>
      </c>
      <c r="F17" s="40">
        <v>0</v>
      </c>
      <c r="G17" s="40">
        <v>0</v>
      </c>
      <c r="H17" s="40">
        <f t="shared" si="1"/>
        <v>147311</v>
      </c>
      <c r="I17" s="40">
        <f t="shared" si="2"/>
        <v>16402</v>
      </c>
      <c r="J17" s="47">
        <v>12.4495</v>
      </c>
      <c r="K17" s="19">
        <f t="shared" si="3"/>
        <v>12.45</v>
      </c>
      <c r="L17" s="47">
        <v>31.6002</v>
      </c>
      <c r="M17" s="19">
        <f t="shared" si="4"/>
        <v>31.6</v>
      </c>
      <c r="N17" s="19">
        <f t="shared" si="5"/>
        <v>19.150000000000002</v>
      </c>
      <c r="P17" s="9">
        <f t="shared" si="6"/>
        <v>2821005.6500000004</v>
      </c>
      <c r="Q17" s="9">
        <f t="shared" si="7"/>
        <v>0</v>
      </c>
      <c r="R17" s="9">
        <f t="shared" si="8"/>
        <v>0</v>
      </c>
      <c r="S17" s="9">
        <f t="shared" si="9"/>
        <v>0</v>
      </c>
      <c r="T17" s="9">
        <f t="shared" si="10"/>
        <v>2821005.6500000004</v>
      </c>
    </row>
    <row r="18" spans="1:20" ht="11.25">
      <c r="A18" s="5" t="s">
        <v>9</v>
      </c>
      <c r="B18" s="40">
        <v>122975</v>
      </c>
      <c r="C18" s="40">
        <v>0</v>
      </c>
      <c r="D18" s="40">
        <f t="shared" si="0"/>
        <v>0</v>
      </c>
      <c r="E18" s="40">
        <v>0</v>
      </c>
      <c r="F18" s="40">
        <v>0</v>
      </c>
      <c r="G18" s="40">
        <v>0</v>
      </c>
      <c r="H18" s="40">
        <f t="shared" si="1"/>
        <v>0</v>
      </c>
      <c r="I18" s="40">
        <f t="shared" si="2"/>
        <v>-122975</v>
      </c>
      <c r="J18" s="47">
        <v>12.4753</v>
      </c>
      <c r="K18" s="19">
        <f t="shared" si="3"/>
        <v>12.48</v>
      </c>
      <c r="L18" s="47">
        <v>31.6002</v>
      </c>
      <c r="M18" s="19">
        <f t="shared" si="4"/>
        <v>31.6</v>
      </c>
      <c r="N18" s="19">
        <f t="shared" si="5"/>
        <v>19.12</v>
      </c>
      <c r="P18" s="9">
        <f t="shared" si="6"/>
        <v>0</v>
      </c>
      <c r="Q18" s="9">
        <f t="shared" si="7"/>
        <v>0</v>
      </c>
      <c r="R18" s="9">
        <f t="shared" si="8"/>
        <v>0</v>
      </c>
      <c r="S18" s="9">
        <f t="shared" si="9"/>
        <v>0</v>
      </c>
      <c r="T18" s="9">
        <f t="shared" si="10"/>
        <v>0</v>
      </c>
    </row>
    <row r="19" spans="1:20" ht="11.25">
      <c r="A19" s="5" t="s">
        <v>10</v>
      </c>
      <c r="B19" s="40">
        <v>122975</v>
      </c>
      <c r="C19" s="40">
        <v>0</v>
      </c>
      <c r="D19" s="40">
        <f t="shared" si="0"/>
        <v>0</v>
      </c>
      <c r="E19" s="40">
        <v>0</v>
      </c>
      <c r="F19" s="40">
        <v>0</v>
      </c>
      <c r="G19" s="40">
        <v>0</v>
      </c>
      <c r="H19" s="40">
        <f t="shared" si="1"/>
        <v>0</v>
      </c>
      <c r="I19" s="40">
        <f t="shared" si="2"/>
        <v>-122975</v>
      </c>
      <c r="J19" s="47">
        <v>12.4753</v>
      </c>
      <c r="K19" s="19">
        <f t="shared" si="3"/>
        <v>12.48</v>
      </c>
      <c r="L19" s="47">
        <v>31.6002</v>
      </c>
      <c r="M19" s="19">
        <f t="shared" si="4"/>
        <v>31.6</v>
      </c>
      <c r="N19" s="19">
        <f t="shared" si="5"/>
        <v>19.12</v>
      </c>
      <c r="P19" s="9">
        <f t="shared" si="6"/>
        <v>0</v>
      </c>
      <c r="Q19" s="9">
        <f t="shared" si="7"/>
        <v>0</v>
      </c>
      <c r="R19" s="9">
        <f t="shared" si="8"/>
        <v>0</v>
      </c>
      <c r="S19" s="9">
        <f t="shared" si="9"/>
        <v>0</v>
      </c>
      <c r="T19" s="9">
        <f t="shared" si="10"/>
        <v>0</v>
      </c>
    </row>
    <row r="20" spans="1:20" ht="11.25">
      <c r="A20" s="5" t="s">
        <v>11</v>
      </c>
      <c r="B20" s="40">
        <v>142810</v>
      </c>
      <c r="C20" s="40">
        <v>220951</v>
      </c>
      <c r="D20" s="40">
        <f t="shared" si="0"/>
        <v>0</v>
      </c>
      <c r="E20" s="40">
        <v>0</v>
      </c>
      <c r="F20" s="40">
        <v>0</v>
      </c>
      <c r="G20" s="40">
        <v>0</v>
      </c>
      <c r="H20" s="40">
        <f t="shared" si="1"/>
        <v>220951</v>
      </c>
      <c r="I20" s="40">
        <f t="shared" si="2"/>
        <v>78141</v>
      </c>
      <c r="J20" s="47">
        <v>12.4878</v>
      </c>
      <c r="K20" s="19">
        <f t="shared" si="3"/>
        <v>12.49</v>
      </c>
      <c r="L20" s="47">
        <v>29.1933</v>
      </c>
      <c r="M20" s="19">
        <f t="shared" si="4"/>
        <v>29.19</v>
      </c>
      <c r="N20" s="19">
        <f t="shared" si="5"/>
        <v>16.700000000000003</v>
      </c>
      <c r="P20" s="9">
        <f t="shared" si="6"/>
        <v>3689881.7000000007</v>
      </c>
      <c r="Q20" s="9">
        <f t="shared" si="7"/>
        <v>0</v>
      </c>
      <c r="R20" s="9">
        <f t="shared" si="8"/>
        <v>0</v>
      </c>
      <c r="S20" s="9">
        <f t="shared" si="9"/>
        <v>0</v>
      </c>
      <c r="T20" s="9">
        <f t="shared" si="10"/>
        <v>3689881.7000000007</v>
      </c>
    </row>
    <row r="21" spans="1:20" ht="11.25">
      <c r="A21" s="5" t="s">
        <v>12</v>
      </c>
      <c r="B21" s="40">
        <v>221355</v>
      </c>
      <c r="C21" s="40">
        <v>304426</v>
      </c>
      <c r="D21" s="40">
        <f t="shared" si="0"/>
        <v>0</v>
      </c>
      <c r="E21" s="40">
        <v>0</v>
      </c>
      <c r="F21" s="40">
        <v>0</v>
      </c>
      <c r="G21" s="40">
        <v>0</v>
      </c>
      <c r="H21" s="40">
        <f t="shared" si="1"/>
        <v>304426</v>
      </c>
      <c r="I21" s="40">
        <f t="shared" si="2"/>
        <v>83071</v>
      </c>
      <c r="J21" s="47">
        <v>12.4929</v>
      </c>
      <c r="K21" s="19">
        <f t="shared" si="3"/>
        <v>12.49</v>
      </c>
      <c r="L21" s="47">
        <v>28.6927</v>
      </c>
      <c r="M21" s="19">
        <f t="shared" si="4"/>
        <v>28.69</v>
      </c>
      <c r="N21" s="19">
        <f t="shared" si="5"/>
        <v>16.200000000000003</v>
      </c>
      <c r="P21" s="9">
        <f t="shared" si="6"/>
        <v>4931701.200000001</v>
      </c>
      <c r="Q21" s="9">
        <f t="shared" si="7"/>
        <v>0</v>
      </c>
      <c r="R21" s="9">
        <f t="shared" si="8"/>
        <v>0</v>
      </c>
      <c r="S21" s="9">
        <f t="shared" si="9"/>
        <v>0</v>
      </c>
      <c r="T21" s="9">
        <f t="shared" si="10"/>
        <v>4931701.200000001</v>
      </c>
    </row>
    <row r="22" spans="1:20" ht="11.25">
      <c r="A22" s="5" t="s">
        <v>13</v>
      </c>
      <c r="B22" s="40">
        <v>285620</v>
      </c>
      <c r="C22" s="40">
        <v>368262</v>
      </c>
      <c r="D22" s="40">
        <f t="shared" si="0"/>
        <v>0</v>
      </c>
      <c r="E22" s="40">
        <v>0</v>
      </c>
      <c r="F22" s="40">
        <v>0</v>
      </c>
      <c r="G22" s="40">
        <v>0</v>
      </c>
      <c r="H22" s="40">
        <f t="shared" si="1"/>
        <v>368262</v>
      </c>
      <c r="I22" s="40">
        <f t="shared" si="2"/>
        <v>82642</v>
      </c>
      <c r="J22" s="47">
        <v>12.4969</v>
      </c>
      <c r="K22" s="19">
        <f t="shared" si="3"/>
        <v>12.5</v>
      </c>
      <c r="L22" s="47">
        <v>28.8081</v>
      </c>
      <c r="M22" s="19">
        <f t="shared" si="4"/>
        <v>28.81</v>
      </c>
      <c r="N22" s="19">
        <f t="shared" si="5"/>
        <v>16.31</v>
      </c>
      <c r="P22" s="9">
        <f t="shared" si="6"/>
        <v>6006353.22</v>
      </c>
      <c r="Q22" s="9">
        <f t="shared" si="7"/>
        <v>0</v>
      </c>
      <c r="R22" s="9">
        <f t="shared" si="8"/>
        <v>0</v>
      </c>
      <c r="S22" s="9">
        <f t="shared" si="9"/>
        <v>0</v>
      </c>
      <c r="T22" s="9">
        <f t="shared" si="10"/>
        <v>6006353.22</v>
      </c>
    </row>
    <row r="23" spans="1:20" ht="11.25">
      <c r="A23" s="5" t="s">
        <v>14</v>
      </c>
      <c r="B23" s="40">
        <v>368926</v>
      </c>
      <c r="C23" s="40">
        <v>456230</v>
      </c>
      <c r="D23" s="40">
        <f t="shared" si="0"/>
        <v>0</v>
      </c>
      <c r="E23" s="40">
        <v>0</v>
      </c>
      <c r="F23" s="40">
        <v>0</v>
      </c>
      <c r="G23" s="40">
        <v>0</v>
      </c>
      <c r="H23" s="40">
        <f t="shared" si="1"/>
        <v>456230</v>
      </c>
      <c r="I23" s="40">
        <f t="shared" si="2"/>
        <v>87304</v>
      </c>
      <c r="J23" s="47">
        <v>12.4978</v>
      </c>
      <c r="K23" s="19">
        <f t="shared" si="3"/>
        <v>12.5</v>
      </c>
      <c r="L23" s="47">
        <v>28.772</v>
      </c>
      <c r="M23" s="19">
        <f t="shared" si="4"/>
        <v>28.77</v>
      </c>
      <c r="N23" s="19">
        <f t="shared" si="5"/>
        <v>16.27</v>
      </c>
      <c r="P23" s="9">
        <f>+H23*N23</f>
        <v>7422862.1</v>
      </c>
      <c r="Q23" s="9">
        <f>+E23*2.99</f>
        <v>0</v>
      </c>
      <c r="R23" s="9">
        <f>+F23*18.36</f>
        <v>0</v>
      </c>
      <c r="S23" s="9">
        <f>+G23*37.79</f>
        <v>0</v>
      </c>
      <c r="T23" s="9">
        <f>SUM(P23:S23)</f>
        <v>7422862.1</v>
      </c>
    </row>
    <row r="24" spans="2:20" ht="11.25">
      <c r="B24" s="40"/>
      <c r="C24" s="40"/>
      <c r="D24" s="40"/>
      <c r="E24" s="40"/>
      <c r="F24" s="40"/>
      <c r="G24" s="40"/>
      <c r="H24" s="40"/>
      <c r="I24" s="40"/>
      <c r="J24" s="47"/>
      <c r="K24" s="19"/>
      <c r="L24" s="47"/>
      <c r="M24" s="19"/>
      <c r="N24" s="19"/>
      <c r="P24" s="9"/>
      <c r="Q24" s="9"/>
      <c r="R24" s="9"/>
      <c r="S24" s="9"/>
      <c r="T24" s="9"/>
    </row>
    <row r="25" spans="2:20" ht="12" thickBot="1">
      <c r="B25" s="51">
        <f aca="true" t="shared" si="11" ref="B25:G25">SUM(B12:B24)</f>
        <v>3043686</v>
      </c>
      <c r="C25" s="51">
        <f t="shared" si="11"/>
        <v>3231705</v>
      </c>
      <c r="D25" s="51">
        <f t="shared" si="11"/>
        <v>0</v>
      </c>
      <c r="E25" s="51">
        <f t="shared" si="11"/>
        <v>0</v>
      </c>
      <c r="F25" s="51">
        <f t="shared" si="11"/>
        <v>0</v>
      </c>
      <c r="G25" s="51">
        <f t="shared" si="11"/>
        <v>0</v>
      </c>
      <c r="H25" s="51">
        <f>SUM(H12:H24)</f>
        <v>3231705</v>
      </c>
      <c r="I25" s="51">
        <f>SUM(I12:I24)</f>
        <v>188019</v>
      </c>
      <c r="J25" s="52"/>
      <c r="K25" s="19"/>
      <c r="L25" s="52"/>
      <c r="M25" s="19"/>
      <c r="N25" s="19"/>
      <c r="P25" s="10">
        <f>SUM(P12:P24)</f>
        <v>63596250.32000001</v>
      </c>
      <c r="Q25" s="10">
        <f>SUM(Q12:Q24)</f>
        <v>0</v>
      </c>
      <c r="R25" s="10">
        <f>SUM(R12:R24)</f>
        <v>0</v>
      </c>
      <c r="S25" s="10">
        <f>SUM(S12:S24)</f>
        <v>0</v>
      </c>
      <c r="T25" s="10">
        <f>SUM(T12:T24)</f>
        <v>63596250.32000001</v>
      </c>
    </row>
    <row r="26" spans="16:20" ht="12" thickTop="1">
      <c r="P26" s="9"/>
      <c r="Q26" s="9"/>
      <c r="R26" s="9"/>
      <c r="S26" s="9"/>
      <c r="T26" s="9"/>
    </row>
    <row r="29" spans="2:7" ht="11.25">
      <c r="B29" s="6"/>
      <c r="C29" s="7"/>
      <c r="D29" s="6"/>
      <c r="E29" s="6"/>
      <c r="F29" s="6"/>
      <c r="G29" s="6"/>
    </row>
    <row r="30" spans="2:17" ht="12.75">
      <c r="B30" s="6"/>
      <c r="C30" s="6"/>
      <c r="D30" s="6"/>
      <c r="E30" s="6"/>
      <c r="F30" s="6"/>
      <c r="G30" s="6"/>
      <c r="Q30"/>
    </row>
    <row r="31" spans="2:7" ht="11.25">
      <c r="B31" s="6"/>
      <c r="C31" s="6"/>
      <c r="D31" s="6"/>
      <c r="E31" s="6"/>
      <c r="F31" s="6"/>
      <c r="G31" s="6"/>
    </row>
    <row r="32" spans="4:18" ht="11.25">
      <c r="D32" s="6"/>
      <c r="E32" s="6"/>
      <c r="F32" s="6"/>
      <c r="G32" s="6"/>
      <c r="P32" s="19"/>
      <c r="Q32" s="19"/>
      <c r="R32" s="19"/>
    </row>
    <row r="33" spans="4:18" ht="11.25">
      <c r="D33" s="6"/>
      <c r="E33" s="6"/>
      <c r="P33" s="19"/>
      <c r="Q33" s="19"/>
      <c r="R33" s="19"/>
    </row>
    <row r="34" spans="16:18" ht="11.25">
      <c r="P34" s="19"/>
      <c r="Q34" s="35"/>
      <c r="R34" s="36"/>
    </row>
    <row r="35" spans="2:7" ht="11.25">
      <c r="B35" s="9"/>
      <c r="C35" s="9"/>
      <c r="D35" s="9"/>
      <c r="E35" s="8"/>
      <c r="G35" s="11"/>
    </row>
    <row r="36" spans="2:7" ht="11.25">
      <c r="B36" s="9"/>
      <c r="C36" s="9"/>
      <c r="D36" s="9"/>
      <c r="E36" s="8"/>
      <c r="G36" s="11"/>
    </row>
    <row r="37" spans="2:7" ht="11.25">
      <c r="B37" s="9"/>
      <c r="C37" s="9"/>
      <c r="D37" s="9"/>
      <c r="E37" s="8"/>
      <c r="G37" s="11"/>
    </row>
    <row r="38" spans="2:7" ht="11.25">
      <c r="B38" s="9"/>
      <c r="C38" s="9"/>
      <c r="D38" s="9"/>
      <c r="E38" s="8"/>
      <c r="G38" s="11"/>
    </row>
    <row r="39" spans="2:7" ht="11.25">
      <c r="B39" s="9"/>
      <c r="C39" s="9"/>
      <c r="D39" s="9"/>
      <c r="E39" s="8"/>
      <c r="G39" s="11"/>
    </row>
    <row r="40" spans="2:7" ht="11.25">
      <c r="B40" s="9"/>
      <c r="C40" s="9"/>
      <c r="D40" s="9"/>
      <c r="E40" s="8"/>
      <c r="G40" s="11"/>
    </row>
    <row r="41" spans="2:7" ht="11.25">
      <c r="B41" s="9"/>
      <c r="C41" s="9"/>
      <c r="D41" s="9"/>
      <c r="E41" s="8"/>
      <c r="G41" s="11"/>
    </row>
    <row r="42" spans="2:7" ht="11.25">
      <c r="B42" s="9"/>
      <c r="C42" s="9"/>
      <c r="D42" s="9"/>
      <c r="E42" s="8"/>
      <c r="G42" s="11"/>
    </row>
    <row r="43" spans="2:7" ht="11.25">
      <c r="B43" s="9"/>
      <c r="C43" s="9"/>
      <c r="D43" s="9"/>
      <c r="E43" s="8"/>
      <c r="G43" s="11"/>
    </row>
    <row r="44" spans="2:7" ht="11.25">
      <c r="B44" s="9"/>
      <c r="C44" s="9"/>
      <c r="D44" s="9"/>
      <c r="E44" s="8"/>
      <c r="G44" s="11"/>
    </row>
    <row r="45" spans="2:7" ht="11.25">
      <c r="B45" s="9"/>
      <c r="C45" s="9"/>
      <c r="D45" s="9"/>
      <c r="E45" s="8"/>
      <c r="G45" s="11"/>
    </row>
    <row r="46" spans="2:7" ht="11.25">
      <c r="B46" s="9"/>
      <c r="C46" s="9"/>
      <c r="D46" s="9"/>
      <c r="E46" s="8"/>
      <c r="G46" s="11"/>
    </row>
    <row r="47" spans="2:7" ht="11.25">
      <c r="B47" s="56"/>
      <c r="C47" s="56"/>
      <c r="D47" s="57"/>
      <c r="E47" s="58"/>
      <c r="F47" s="57"/>
      <c r="G47" s="59"/>
    </row>
    <row r="48" spans="2:7" ht="11.25">
      <c r="B48" s="56"/>
      <c r="C48" s="56"/>
      <c r="D48" s="56"/>
      <c r="E48" s="58"/>
      <c r="F48" s="57"/>
      <c r="G48" s="59"/>
    </row>
    <row r="49" spans="2:3" ht="11.25">
      <c r="B49" s="9"/>
      <c r="C49" s="9"/>
    </row>
    <row r="50" spans="2:3" ht="11.25">
      <c r="B50" s="9"/>
      <c r="C50" s="9"/>
    </row>
    <row r="52" ht="11.25">
      <c r="C52" s="9"/>
    </row>
    <row r="54" ht="11.25">
      <c r="B54" s="12"/>
    </row>
  </sheetData>
  <printOptions horizontalCentered="1" verticalCentered="1"/>
  <pageMargins left="0.5" right="0.5" top="1" bottom="1" header="0.5" footer="0.5"/>
  <pageSetup horizontalDpi="600" verticalDpi="600" orientation="landscape" scale="65" r:id="rId1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21"/>
  <sheetViews>
    <sheetView tabSelected="1" workbookViewId="0" topLeftCell="A1">
      <selection activeCell="D4" sqref="D4"/>
    </sheetView>
  </sheetViews>
  <sheetFormatPr defaultColWidth="9.140625" defaultRowHeight="12.75"/>
  <cols>
    <col min="1" max="3" width="3.7109375" style="5" customWidth="1"/>
    <col min="4" max="5" width="9.140625" style="5" customWidth="1"/>
    <col min="6" max="18" width="12.7109375" style="5" customWidth="1"/>
    <col min="19" max="16384" width="9.140625" style="5" customWidth="1"/>
  </cols>
  <sheetData>
    <row r="1" spans="1:18" ht="11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1.2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1.25">
      <c r="A3" s="13" t="s">
        <v>65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1.25">
      <c r="A4" s="13" t="str">
        <f>Summary!$A$4</f>
        <v>Forecast 2001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ht="11.25">
      <c r="A5" s="4"/>
    </row>
    <row r="7" spans="6:18" ht="11.25">
      <c r="F7" s="22" t="s">
        <v>3</v>
      </c>
      <c r="G7" s="22" t="s">
        <v>4</v>
      </c>
      <c r="H7" s="22" t="s">
        <v>5</v>
      </c>
      <c r="I7" s="22" t="s">
        <v>6</v>
      </c>
      <c r="J7" s="22" t="s">
        <v>7</v>
      </c>
      <c r="K7" s="22" t="s">
        <v>8</v>
      </c>
      <c r="L7" s="22" t="s">
        <v>9</v>
      </c>
      <c r="M7" s="22" t="s">
        <v>10</v>
      </c>
      <c r="N7" s="22" t="s">
        <v>11</v>
      </c>
      <c r="O7" s="22" t="s">
        <v>12</v>
      </c>
      <c r="P7" s="22" t="s">
        <v>13</v>
      </c>
      <c r="Q7" s="22" t="s">
        <v>14</v>
      </c>
      <c r="R7" s="22" t="s">
        <v>64</v>
      </c>
    </row>
    <row r="9" spans="1:18" ht="11.25">
      <c r="A9" s="15" t="s">
        <v>50</v>
      </c>
      <c r="B9" s="15"/>
      <c r="C9" s="1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1.25">
      <c r="A10" s="15"/>
      <c r="B10" s="15" t="s">
        <v>51</v>
      </c>
      <c r="C10" s="1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3:21" ht="11.25">
      <c r="C11" s="5" t="s">
        <v>53</v>
      </c>
      <c r="F11" s="40">
        <v>528500000</v>
      </c>
      <c r="G11" s="40">
        <v>466900000</v>
      </c>
      <c r="H11" s="40">
        <v>471900000</v>
      </c>
      <c r="I11" s="40">
        <v>379200000</v>
      </c>
      <c r="J11" s="40">
        <v>325800000</v>
      </c>
      <c r="K11" s="40">
        <v>270200000</v>
      </c>
      <c r="L11" s="40">
        <v>249400000</v>
      </c>
      <c r="M11" s="40">
        <v>243800000</v>
      </c>
      <c r="N11" s="40">
        <v>262200000</v>
      </c>
      <c r="O11" s="40">
        <v>325600000</v>
      </c>
      <c r="P11" s="40">
        <v>389500000</v>
      </c>
      <c r="Q11" s="40">
        <v>486400000</v>
      </c>
      <c r="R11" s="40">
        <f>SUM(F11:Q11)</f>
        <v>4399400000</v>
      </c>
      <c r="S11" s="40"/>
      <c r="T11" s="40"/>
      <c r="U11" s="40"/>
    </row>
    <row r="12" spans="6:21" ht="11.25"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6:21" ht="11.25">
      <c r="F13" s="41">
        <f>SUM(F11:F12)</f>
        <v>528500000</v>
      </c>
      <c r="G13" s="41">
        <f aca="true" t="shared" si="0" ref="G13:Q13">SUM(G11:G12)</f>
        <v>466900000</v>
      </c>
      <c r="H13" s="41">
        <f t="shared" si="0"/>
        <v>471900000</v>
      </c>
      <c r="I13" s="41">
        <f t="shared" si="0"/>
        <v>379200000</v>
      </c>
      <c r="J13" s="41">
        <f t="shared" si="0"/>
        <v>325800000</v>
      </c>
      <c r="K13" s="41">
        <f t="shared" si="0"/>
        <v>270200000</v>
      </c>
      <c r="L13" s="41">
        <f t="shared" si="0"/>
        <v>249400000</v>
      </c>
      <c r="M13" s="41">
        <f t="shared" si="0"/>
        <v>243800000</v>
      </c>
      <c r="N13" s="41">
        <f t="shared" si="0"/>
        <v>262200000</v>
      </c>
      <c r="O13" s="41">
        <f t="shared" si="0"/>
        <v>325600000</v>
      </c>
      <c r="P13" s="41">
        <f t="shared" si="0"/>
        <v>389500000</v>
      </c>
      <c r="Q13" s="41">
        <f t="shared" si="0"/>
        <v>486400000</v>
      </c>
      <c r="R13" s="41">
        <f>SUM(F13:Q13)</f>
        <v>4399400000</v>
      </c>
      <c r="S13" s="40"/>
      <c r="T13" s="40"/>
      <c r="U13" s="40"/>
    </row>
    <row r="14" spans="6:21" ht="11.25"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6:21" ht="11.25"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2:21" ht="11.25">
      <c r="B16" s="15" t="s">
        <v>84</v>
      </c>
      <c r="F16" s="40"/>
      <c r="G16" s="40"/>
      <c r="H16" s="40"/>
      <c r="I16" s="40" t="s">
        <v>63</v>
      </c>
      <c r="J16" s="40"/>
      <c r="K16" s="40"/>
      <c r="L16" s="40"/>
      <c r="M16" s="40"/>
      <c r="N16" s="40"/>
      <c r="O16" s="40"/>
      <c r="P16" s="40"/>
      <c r="Q16" s="40"/>
      <c r="R16" s="40" t="s">
        <v>63</v>
      </c>
      <c r="S16" s="40"/>
      <c r="T16" s="40"/>
      <c r="U16" s="40"/>
    </row>
    <row r="17" spans="3:21" ht="12.75">
      <c r="C17" s="5" t="s">
        <v>54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2"/>
      <c r="T17" s="40"/>
      <c r="U17" s="40"/>
    </row>
    <row r="18" spans="4:21" ht="11.25">
      <c r="D18" s="20" t="s">
        <v>55</v>
      </c>
      <c r="F18" s="40">
        <v>12500000</v>
      </c>
      <c r="G18" s="40">
        <v>11290000</v>
      </c>
      <c r="H18" s="40">
        <v>12500000</v>
      </c>
      <c r="I18" s="40">
        <v>12380000</v>
      </c>
      <c r="J18" s="40">
        <v>12800000</v>
      </c>
      <c r="K18" s="40">
        <v>10080000</v>
      </c>
      <c r="L18" s="40">
        <v>11610000</v>
      </c>
      <c r="M18" s="40">
        <v>12200000</v>
      </c>
      <c r="N18" s="40">
        <v>11420000</v>
      </c>
      <c r="O18" s="40">
        <v>11610000</v>
      </c>
      <c r="P18" s="40">
        <v>11230000</v>
      </c>
      <c r="Q18" s="40">
        <v>11660000</v>
      </c>
      <c r="R18" s="40">
        <f>SUM(F18:Q18)</f>
        <v>141280000</v>
      </c>
      <c r="S18" s="40"/>
      <c r="T18" s="40"/>
      <c r="U18" s="40"/>
    </row>
    <row r="19" spans="4:21" ht="11.25">
      <c r="D19" s="20" t="s">
        <v>56</v>
      </c>
      <c r="F19" s="40">
        <v>290000</v>
      </c>
      <c r="G19" s="40">
        <v>260000</v>
      </c>
      <c r="H19" s="40">
        <v>290000</v>
      </c>
      <c r="I19" s="40">
        <v>600000</v>
      </c>
      <c r="J19" s="40">
        <v>410000</v>
      </c>
      <c r="K19" s="40">
        <v>270000</v>
      </c>
      <c r="L19" s="40">
        <v>490000</v>
      </c>
      <c r="M19" s="40">
        <v>490000</v>
      </c>
      <c r="N19" s="40">
        <v>310000</v>
      </c>
      <c r="O19" s="40">
        <v>490000</v>
      </c>
      <c r="P19" s="40">
        <v>470000</v>
      </c>
      <c r="Q19" s="40">
        <v>640000</v>
      </c>
      <c r="R19" s="40">
        <f>SUM(F19:Q19)</f>
        <v>5010000</v>
      </c>
      <c r="S19" s="40"/>
      <c r="T19" s="40"/>
      <c r="U19" s="40"/>
    </row>
    <row r="20" spans="6:21" ht="11.25">
      <c r="F20" s="43">
        <f>SUM(F18:F19)</f>
        <v>12790000</v>
      </c>
      <c r="G20" s="43">
        <f aca="true" t="shared" si="1" ref="G20:Q20">SUM(G18:G19)</f>
        <v>11550000</v>
      </c>
      <c r="H20" s="43">
        <f t="shared" si="1"/>
        <v>12790000</v>
      </c>
      <c r="I20" s="43">
        <f t="shared" si="1"/>
        <v>12980000</v>
      </c>
      <c r="J20" s="43">
        <f t="shared" si="1"/>
        <v>13210000</v>
      </c>
      <c r="K20" s="43">
        <f t="shared" si="1"/>
        <v>10350000</v>
      </c>
      <c r="L20" s="43">
        <f t="shared" si="1"/>
        <v>12100000</v>
      </c>
      <c r="M20" s="43">
        <f t="shared" si="1"/>
        <v>12690000</v>
      </c>
      <c r="N20" s="43">
        <f t="shared" si="1"/>
        <v>11730000</v>
      </c>
      <c r="O20" s="43">
        <f t="shared" si="1"/>
        <v>12100000</v>
      </c>
      <c r="P20" s="43">
        <f t="shared" si="1"/>
        <v>11700000</v>
      </c>
      <c r="Q20" s="43">
        <f t="shared" si="1"/>
        <v>12300000</v>
      </c>
      <c r="R20" s="43">
        <f>SUM(F20:Q20)</f>
        <v>146290000</v>
      </c>
      <c r="S20" s="40"/>
      <c r="T20" s="40"/>
      <c r="U20" s="40"/>
    </row>
    <row r="21" spans="6:21" ht="12.75"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 t="s">
        <v>63</v>
      </c>
      <c r="S21" s="42"/>
      <c r="T21" s="40"/>
      <c r="U21" s="40"/>
    </row>
    <row r="22" spans="3:21" ht="11.25">
      <c r="C22" s="5" t="s">
        <v>57</v>
      </c>
      <c r="F22" s="40">
        <v>47145000</v>
      </c>
      <c r="G22" s="40">
        <v>44002000</v>
      </c>
      <c r="H22" s="40">
        <v>48717000</v>
      </c>
      <c r="I22" s="40">
        <v>47145000</v>
      </c>
      <c r="J22" s="40">
        <v>40860000</v>
      </c>
      <c r="K22" s="40">
        <v>47145000</v>
      </c>
      <c r="L22" s="40">
        <v>48717000</v>
      </c>
      <c r="M22" s="40">
        <v>48717000</v>
      </c>
      <c r="N22" s="40">
        <v>45574000</v>
      </c>
      <c r="O22" s="40">
        <v>48717000</v>
      </c>
      <c r="P22" s="40">
        <v>47145000</v>
      </c>
      <c r="Q22" s="40">
        <v>46145000</v>
      </c>
      <c r="R22" s="40">
        <f aca="true" t="shared" si="2" ref="R22:R27">SUM(F22:Q22)</f>
        <v>560029000</v>
      </c>
      <c r="S22" s="40"/>
      <c r="T22" s="40"/>
      <c r="U22" s="40"/>
    </row>
    <row r="23" spans="3:21" ht="11.25">
      <c r="C23" s="5" t="s">
        <v>58</v>
      </c>
      <c r="F23" s="40">
        <v>1240000</v>
      </c>
      <c r="G23" s="40">
        <v>1320000</v>
      </c>
      <c r="H23" s="40">
        <v>1460000</v>
      </c>
      <c r="I23" s="40">
        <v>1410000</v>
      </c>
      <c r="J23" s="40">
        <v>1460000</v>
      </c>
      <c r="K23" s="40">
        <v>1410000</v>
      </c>
      <c r="L23" s="40">
        <v>1460000</v>
      </c>
      <c r="M23" s="40">
        <v>1460000</v>
      </c>
      <c r="N23" s="40">
        <v>1410000</v>
      </c>
      <c r="O23" s="40">
        <v>1360000</v>
      </c>
      <c r="P23" s="40">
        <v>1410000</v>
      </c>
      <c r="Q23" s="40">
        <v>1460000</v>
      </c>
      <c r="R23" s="40">
        <f t="shared" si="2"/>
        <v>16860000</v>
      </c>
      <c r="S23" s="40"/>
      <c r="T23" s="40"/>
      <c r="U23" s="40"/>
    </row>
    <row r="24" spans="3:21" ht="11.25">
      <c r="C24" s="5" t="s">
        <v>59</v>
      </c>
      <c r="F24" s="40">
        <v>29540000</v>
      </c>
      <c r="G24" s="40">
        <v>31200000</v>
      </c>
      <c r="H24" s="40">
        <v>34600000</v>
      </c>
      <c r="I24" s="40">
        <v>31715000</v>
      </c>
      <c r="J24" s="40">
        <v>30629000</v>
      </c>
      <c r="K24" s="40">
        <v>29639000</v>
      </c>
      <c r="L24" s="40">
        <v>33669000</v>
      </c>
      <c r="M24" s="40">
        <v>33669000</v>
      </c>
      <c r="N24" s="40">
        <v>34220000</v>
      </c>
      <c r="O24" s="40">
        <v>34832000</v>
      </c>
      <c r="P24" s="40">
        <v>32589000</v>
      </c>
      <c r="Q24" s="40">
        <v>33669000</v>
      </c>
      <c r="R24" s="40">
        <f t="shared" si="2"/>
        <v>389971000</v>
      </c>
      <c r="S24" s="40"/>
      <c r="T24" s="40"/>
      <c r="U24" s="40"/>
    </row>
    <row r="25" spans="3:21" ht="11.25">
      <c r="C25" s="5" t="s">
        <v>60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f t="shared" si="2"/>
        <v>0</v>
      </c>
      <c r="S25" s="40"/>
      <c r="T25" s="40"/>
      <c r="U25" s="40"/>
    </row>
    <row r="26" spans="3:21" ht="11.25">
      <c r="C26" s="5" t="s">
        <v>61</v>
      </c>
      <c r="F26" s="40">
        <v>20500000</v>
      </c>
      <c r="G26" s="40">
        <v>20400000</v>
      </c>
      <c r="H26" s="40">
        <v>20200000</v>
      </c>
      <c r="I26" s="40">
        <v>19900000</v>
      </c>
      <c r="J26" s="40">
        <v>12500000</v>
      </c>
      <c r="K26" s="40">
        <v>19900000</v>
      </c>
      <c r="L26" s="40">
        <v>19700000</v>
      </c>
      <c r="M26" s="40">
        <v>19700000</v>
      </c>
      <c r="N26" s="40">
        <v>19900000</v>
      </c>
      <c r="O26" s="40">
        <v>20300000</v>
      </c>
      <c r="P26" s="40">
        <v>20200000</v>
      </c>
      <c r="Q26" s="40">
        <v>20400000</v>
      </c>
      <c r="R26" s="40">
        <f t="shared" si="2"/>
        <v>233600000</v>
      </c>
      <c r="S26" s="40"/>
      <c r="T26" s="40"/>
      <c r="U26" s="40"/>
    </row>
    <row r="27" spans="3:21" ht="11.25">
      <c r="C27" s="5" t="s">
        <v>62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f t="shared" si="2"/>
        <v>0</v>
      </c>
      <c r="S27" s="40"/>
      <c r="T27" s="40"/>
      <c r="U27" s="40"/>
    </row>
    <row r="28" spans="6:21" ht="11.25">
      <c r="F28" s="40" t="s">
        <v>63</v>
      </c>
      <c r="G28" s="40" t="s">
        <v>63</v>
      </c>
      <c r="H28" s="40" t="s">
        <v>63</v>
      </c>
      <c r="I28" s="40" t="s">
        <v>63</v>
      </c>
      <c r="J28" s="40" t="s">
        <v>63</v>
      </c>
      <c r="K28" s="40" t="s">
        <v>63</v>
      </c>
      <c r="L28" s="40" t="s">
        <v>63</v>
      </c>
      <c r="M28" s="40" t="s">
        <v>63</v>
      </c>
      <c r="N28" s="40" t="s">
        <v>63</v>
      </c>
      <c r="O28" s="40" t="s">
        <v>63</v>
      </c>
      <c r="P28" s="40" t="s">
        <v>63</v>
      </c>
      <c r="Q28" s="40" t="s">
        <v>63</v>
      </c>
      <c r="R28" s="40"/>
      <c r="S28" s="40"/>
      <c r="T28" s="40"/>
      <c r="U28" s="40"/>
    </row>
    <row r="29" spans="6:21" ht="11.25">
      <c r="F29" s="41">
        <f>SUM(F20:F28)</f>
        <v>111215000</v>
      </c>
      <c r="G29" s="41">
        <f aca="true" t="shared" si="3" ref="G29:Q29">SUM(G20:G28)</f>
        <v>108472000</v>
      </c>
      <c r="H29" s="41">
        <f t="shared" si="3"/>
        <v>117767000</v>
      </c>
      <c r="I29" s="41">
        <f t="shared" si="3"/>
        <v>113150000</v>
      </c>
      <c r="J29" s="41">
        <f t="shared" si="3"/>
        <v>98659000</v>
      </c>
      <c r="K29" s="41">
        <f t="shared" si="3"/>
        <v>108444000</v>
      </c>
      <c r="L29" s="41">
        <f t="shared" si="3"/>
        <v>115646000</v>
      </c>
      <c r="M29" s="41">
        <f t="shared" si="3"/>
        <v>116236000</v>
      </c>
      <c r="N29" s="41">
        <f t="shared" si="3"/>
        <v>112834000</v>
      </c>
      <c r="O29" s="41">
        <f t="shared" si="3"/>
        <v>117309000</v>
      </c>
      <c r="P29" s="41">
        <f t="shared" si="3"/>
        <v>113044000</v>
      </c>
      <c r="Q29" s="41">
        <f t="shared" si="3"/>
        <v>113974000</v>
      </c>
      <c r="R29" s="41">
        <f>SUM(F29:Q29)</f>
        <v>1346750000</v>
      </c>
      <c r="S29" s="40"/>
      <c r="T29" s="40"/>
      <c r="U29" s="40"/>
    </row>
    <row r="30" spans="6:21" ht="11.25"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6:21" ht="12" thickBot="1">
      <c r="F31" s="44">
        <f>+F13+F29</f>
        <v>639715000</v>
      </c>
      <c r="G31" s="44">
        <f aca="true" t="shared" si="4" ref="G31:Q31">+G13+G29</f>
        <v>575372000</v>
      </c>
      <c r="H31" s="44">
        <f t="shared" si="4"/>
        <v>589667000</v>
      </c>
      <c r="I31" s="44">
        <f t="shared" si="4"/>
        <v>492350000</v>
      </c>
      <c r="J31" s="44">
        <f t="shared" si="4"/>
        <v>424459000</v>
      </c>
      <c r="K31" s="44">
        <f t="shared" si="4"/>
        <v>378644000</v>
      </c>
      <c r="L31" s="44">
        <f t="shared" si="4"/>
        <v>365046000</v>
      </c>
      <c r="M31" s="44">
        <f t="shared" si="4"/>
        <v>360036000</v>
      </c>
      <c r="N31" s="44">
        <f t="shared" si="4"/>
        <v>375034000</v>
      </c>
      <c r="O31" s="44">
        <f t="shared" si="4"/>
        <v>442909000</v>
      </c>
      <c r="P31" s="44">
        <f t="shared" si="4"/>
        <v>502544000</v>
      </c>
      <c r="Q31" s="44">
        <f t="shared" si="4"/>
        <v>600374000</v>
      </c>
      <c r="R31" s="44">
        <f>SUM(F31:Q31)</f>
        <v>5746150000</v>
      </c>
      <c r="S31" s="40"/>
      <c r="T31" s="40"/>
      <c r="U31" s="40"/>
    </row>
    <row r="32" spans="6:21" ht="12" thickTop="1"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6:21" ht="11.25"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 t="s">
        <v>63</v>
      </c>
      <c r="S33" s="40"/>
      <c r="T33" s="40"/>
      <c r="U33" s="40"/>
    </row>
    <row r="34" spans="1:21" ht="11.25">
      <c r="A34" s="15" t="s">
        <v>52</v>
      </c>
      <c r="B34" s="15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11.25">
      <c r="A35" s="15"/>
      <c r="B35" s="15" t="s">
        <v>51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3:21" ht="12" thickBot="1">
      <c r="C36" s="5" t="s">
        <v>53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f>SUM(F36:Q36)</f>
        <v>0</v>
      </c>
      <c r="S36" s="40"/>
      <c r="T36" s="40"/>
      <c r="U36" s="40"/>
    </row>
    <row r="37" spans="6:21" ht="12" thickTop="1">
      <c r="F37" s="40" t="s">
        <v>63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6:21" ht="11.25"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6:21" ht="11.25"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6:21" ht="11.25"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6:21" ht="11.25"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6:21" ht="11.25"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6:21" ht="11.25"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4:21" ht="11.25">
      <c r="D44" s="1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4:21" ht="11.25">
      <c r="D45" s="2"/>
      <c r="E45" s="3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ht="11.25">
      <c r="A46" s="13"/>
      <c r="B46" s="14"/>
      <c r="C46" s="14"/>
      <c r="D46" s="14"/>
      <c r="E46" s="14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0"/>
      <c r="T46" s="40"/>
      <c r="U46" s="40"/>
    </row>
    <row r="47" spans="1:21" ht="11.25">
      <c r="A47" s="13" t="s">
        <v>1</v>
      </c>
      <c r="B47" s="14"/>
      <c r="C47" s="14"/>
      <c r="D47" s="14"/>
      <c r="E47" s="14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0"/>
      <c r="T47" s="40"/>
      <c r="U47" s="40"/>
    </row>
    <row r="48" spans="1:21" ht="11.25">
      <c r="A48" s="13" t="s">
        <v>66</v>
      </c>
      <c r="B48" s="14"/>
      <c r="C48" s="14"/>
      <c r="D48" s="14"/>
      <c r="E48" s="14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0"/>
      <c r="T48" s="40"/>
      <c r="U48" s="40"/>
    </row>
    <row r="49" spans="1:21" ht="11.25">
      <c r="A49" s="13" t="str">
        <f>Summary!$A$4</f>
        <v>Forecast 2001</v>
      </c>
      <c r="B49" s="14"/>
      <c r="C49" s="14"/>
      <c r="D49" s="14"/>
      <c r="E49" s="1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0"/>
      <c r="T49" s="40"/>
      <c r="U49" s="40"/>
    </row>
    <row r="50" spans="1:21" ht="11.25">
      <c r="A50" s="4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6:21" ht="11.25"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6:21" ht="11.25">
      <c r="F52" s="46" t="s">
        <v>3</v>
      </c>
      <c r="G52" s="46" t="s">
        <v>4</v>
      </c>
      <c r="H52" s="46" t="s">
        <v>5</v>
      </c>
      <c r="I52" s="46" t="s">
        <v>6</v>
      </c>
      <c r="J52" s="46" t="s">
        <v>7</v>
      </c>
      <c r="K52" s="46" t="s">
        <v>8</v>
      </c>
      <c r="L52" s="46" t="s">
        <v>9</v>
      </c>
      <c r="M52" s="46" t="s">
        <v>10</v>
      </c>
      <c r="N52" s="46" t="s">
        <v>11</v>
      </c>
      <c r="O52" s="46" t="s">
        <v>12</v>
      </c>
      <c r="P52" s="46" t="s">
        <v>13</v>
      </c>
      <c r="Q52" s="46" t="s">
        <v>14</v>
      </c>
      <c r="R52" s="46" t="s">
        <v>64</v>
      </c>
      <c r="S52" s="40"/>
      <c r="T52" s="40"/>
      <c r="U52" s="40"/>
    </row>
    <row r="53" spans="6:21" ht="11.25"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ht="11.25">
      <c r="A54" s="15" t="s">
        <v>50</v>
      </c>
      <c r="B54" s="15"/>
      <c r="C54" s="15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ht="11.25">
      <c r="A55" s="15"/>
      <c r="B55" s="15" t="s">
        <v>51</v>
      </c>
      <c r="C55" s="15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3:21" ht="11.25">
      <c r="C56" s="5" t="s">
        <v>53</v>
      </c>
      <c r="F56" s="40">
        <v>487300000</v>
      </c>
      <c r="G56" s="40">
        <v>460400000</v>
      </c>
      <c r="H56" s="40">
        <v>446400000</v>
      </c>
      <c r="I56" s="40">
        <v>376000000</v>
      </c>
      <c r="J56" s="40">
        <v>321900000</v>
      </c>
      <c r="K56" s="40">
        <v>265700000</v>
      </c>
      <c r="L56" s="40">
        <v>239200000</v>
      </c>
      <c r="M56" s="40">
        <v>238700000</v>
      </c>
      <c r="N56" s="40">
        <v>256800000</v>
      </c>
      <c r="O56" s="40">
        <v>327700000</v>
      </c>
      <c r="P56" s="40">
        <v>386500000</v>
      </c>
      <c r="Q56" s="40">
        <v>477500000</v>
      </c>
      <c r="R56" s="40">
        <f>SUM(F56:Q56)</f>
        <v>4284100000</v>
      </c>
      <c r="S56" s="40"/>
      <c r="T56" s="40"/>
      <c r="U56" s="40"/>
    </row>
    <row r="57" spans="6:21" ht="11.25"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6:21" ht="11.25">
      <c r="F58" s="41">
        <f aca="true" t="shared" si="5" ref="F58:Q58">SUM(F56:F57)</f>
        <v>487300000</v>
      </c>
      <c r="G58" s="41">
        <f t="shared" si="5"/>
        <v>460400000</v>
      </c>
      <c r="H58" s="41">
        <f t="shared" si="5"/>
        <v>446400000</v>
      </c>
      <c r="I58" s="41">
        <f t="shared" si="5"/>
        <v>376000000</v>
      </c>
      <c r="J58" s="41">
        <f t="shared" si="5"/>
        <v>321900000</v>
      </c>
      <c r="K58" s="41">
        <f t="shared" si="5"/>
        <v>265700000</v>
      </c>
      <c r="L58" s="41">
        <f t="shared" si="5"/>
        <v>239200000</v>
      </c>
      <c r="M58" s="41">
        <f t="shared" si="5"/>
        <v>238700000</v>
      </c>
      <c r="N58" s="41">
        <f t="shared" si="5"/>
        <v>256800000</v>
      </c>
      <c r="O58" s="41">
        <f t="shared" si="5"/>
        <v>327700000</v>
      </c>
      <c r="P58" s="41">
        <f t="shared" si="5"/>
        <v>386500000</v>
      </c>
      <c r="Q58" s="41">
        <f t="shared" si="5"/>
        <v>477500000</v>
      </c>
      <c r="R58" s="41">
        <f>SUM(F58:Q58)</f>
        <v>4284100000</v>
      </c>
      <c r="S58" s="40"/>
      <c r="T58" s="40"/>
      <c r="U58" s="40"/>
    </row>
    <row r="59" spans="6:21" ht="11.25"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6:21" ht="11.25"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1.25">
      <c r="B61" s="15" t="s">
        <v>84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3:21" ht="11.25">
      <c r="C62" s="5" t="s">
        <v>54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4:21" ht="11.25">
      <c r="D63" s="20" t="s">
        <v>55</v>
      </c>
      <c r="F63" s="40">
        <v>14400000</v>
      </c>
      <c r="G63" s="40">
        <v>13400000</v>
      </c>
      <c r="H63" s="40">
        <v>14900000</v>
      </c>
      <c r="I63" s="40">
        <v>14400000</v>
      </c>
      <c r="J63" s="40">
        <v>14900000</v>
      </c>
      <c r="K63" s="40">
        <v>14400000</v>
      </c>
      <c r="L63" s="40">
        <v>14000000</v>
      </c>
      <c r="M63" s="40">
        <v>14000000</v>
      </c>
      <c r="N63" s="40">
        <v>14400000</v>
      </c>
      <c r="O63" s="40">
        <v>14900000</v>
      </c>
      <c r="P63" s="40">
        <v>14400000</v>
      </c>
      <c r="Q63" s="40">
        <v>13000000</v>
      </c>
      <c r="R63" s="40">
        <f>SUM(F63:Q63)</f>
        <v>171100000</v>
      </c>
      <c r="S63" s="40"/>
      <c r="T63" s="40"/>
      <c r="U63" s="40"/>
    </row>
    <row r="64" spans="4:21" ht="11.25">
      <c r="D64" s="20" t="s">
        <v>56</v>
      </c>
      <c r="F64" s="40">
        <v>1800000</v>
      </c>
      <c r="G64" s="40">
        <v>300000</v>
      </c>
      <c r="H64" s="40">
        <v>2000000</v>
      </c>
      <c r="I64" s="40">
        <v>3200000</v>
      </c>
      <c r="J64" s="40">
        <v>1200000</v>
      </c>
      <c r="K64" s="40">
        <v>1700000</v>
      </c>
      <c r="L64" s="40">
        <v>2000000</v>
      </c>
      <c r="M64" s="40">
        <v>1900000</v>
      </c>
      <c r="N64" s="40">
        <v>100000</v>
      </c>
      <c r="O64" s="40">
        <v>100000</v>
      </c>
      <c r="P64" s="40">
        <v>100000</v>
      </c>
      <c r="Q64" s="40">
        <v>100000</v>
      </c>
      <c r="R64" s="40">
        <f>SUM(F64:Q64)</f>
        <v>14500000</v>
      </c>
      <c r="S64" s="40"/>
      <c r="T64" s="40"/>
      <c r="U64" s="40"/>
    </row>
    <row r="65" spans="6:21" ht="11.25">
      <c r="F65" s="43">
        <f aca="true" t="shared" si="6" ref="F65:Q65">SUM(F63:F64)</f>
        <v>16200000</v>
      </c>
      <c r="G65" s="43">
        <f t="shared" si="6"/>
        <v>13700000</v>
      </c>
      <c r="H65" s="43">
        <f t="shared" si="6"/>
        <v>16900000</v>
      </c>
      <c r="I65" s="43">
        <f t="shared" si="6"/>
        <v>17600000</v>
      </c>
      <c r="J65" s="43">
        <f t="shared" si="6"/>
        <v>16100000</v>
      </c>
      <c r="K65" s="43">
        <f t="shared" si="6"/>
        <v>16100000</v>
      </c>
      <c r="L65" s="43">
        <f t="shared" si="6"/>
        <v>16000000</v>
      </c>
      <c r="M65" s="43">
        <f t="shared" si="6"/>
        <v>15900000</v>
      </c>
      <c r="N65" s="43">
        <f t="shared" si="6"/>
        <v>14500000</v>
      </c>
      <c r="O65" s="43">
        <f t="shared" si="6"/>
        <v>15000000</v>
      </c>
      <c r="P65" s="43">
        <f t="shared" si="6"/>
        <v>14500000</v>
      </c>
      <c r="Q65" s="43">
        <f t="shared" si="6"/>
        <v>13100000</v>
      </c>
      <c r="R65" s="43">
        <f>SUM(F65:Q65)</f>
        <v>185600000</v>
      </c>
      <c r="S65" s="40"/>
      <c r="T65" s="40"/>
      <c r="U65" s="40"/>
    </row>
    <row r="66" spans="6:21" ht="11.25"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3:21" ht="11.25">
      <c r="C67" s="5" t="s">
        <v>57</v>
      </c>
      <c r="F67" s="40">
        <v>41300000</v>
      </c>
      <c r="G67" s="40">
        <v>38500000</v>
      </c>
      <c r="H67" s="40">
        <v>39900000</v>
      </c>
      <c r="I67" s="40">
        <v>41300000</v>
      </c>
      <c r="J67" s="40">
        <v>42700000</v>
      </c>
      <c r="K67" s="40">
        <v>41300000</v>
      </c>
      <c r="L67" s="40">
        <v>41300000</v>
      </c>
      <c r="M67" s="40">
        <v>42700000</v>
      </c>
      <c r="N67" s="40">
        <v>39900000</v>
      </c>
      <c r="O67" s="40">
        <v>42700000</v>
      </c>
      <c r="P67" s="40">
        <v>41300000</v>
      </c>
      <c r="Q67" s="40">
        <v>36500000</v>
      </c>
      <c r="R67" s="40">
        <f aca="true" t="shared" si="7" ref="R67:R72">SUM(F67:Q67)</f>
        <v>489400000</v>
      </c>
      <c r="S67" s="40"/>
      <c r="T67" s="40"/>
      <c r="U67" s="40"/>
    </row>
    <row r="68" spans="3:21" ht="11.25">
      <c r="C68" s="5" t="s">
        <v>58</v>
      </c>
      <c r="F68" s="40">
        <v>1400000</v>
      </c>
      <c r="G68" s="40">
        <v>1200000</v>
      </c>
      <c r="H68" s="40">
        <v>1400000</v>
      </c>
      <c r="I68" s="40">
        <v>1300000</v>
      </c>
      <c r="J68" s="40">
        <v>1400000</v>
      </c>
      <c r="K68" s="40">
        <v>1300000</v>
      </c>
      <c r="L68" s="40">
        <v>1300000</v>
      </c>
      <c r="M68" s="40">
        <v>1300000</v>
      </c>
      <c r="N68" s="40">
        <v>1200000</v>
      </c>
      <c r="O68" s="40">
        <v>1400000</v>
      </c>
      <c r="P68" s="40">
        <v>1300000</v>
      </c>
      <c r="Q68" s="40">
        <v>1300000</v>
      </c>
      <c r="R68" s="40">
        <f t="shared" si="7"/>
        <v>15800000</v>
      </c>
      <c r="S68" s="40"/>
      <c r="T68" s="40"/>
      <c r="U68" s="40"/>
    </row>
    <row r="69" spans="3:21" ht="11.25">
      <c r="C69" s="5" t="s">
        <v>59</v>
      </c>
      <c r="F69" s="40">
        <v>27000000</v>
      </c>
      <c r="G69" s="40">
        <v>24300000</v>
      </c>
      <c r="H69" s="40">
        <v>27000000</v>
      </c>
      <c r="I69" s="40">
        <v>26000000</v>
      </c>
      <c r="J69" s="40">
        <v>26900000</v>
      </c>
      <c r="K69" s="40">
        <v>26000000</v>
      </c>
      <c r="L69" s="40">
        <v>26900000</v>
      </c>
      <c r="M69" s="40">
        <v>26900000</v>
      </c>
      <c r="N69" s="40">
        <v>24300000</v>
      </c>
      <c r="O69" s="40">
        <v>27000000</v>
      </c>
      <c r="P69" s="40">
        <v>26000000</v>
      </c>
      <c r="Q69" s="40">
        <v>24800000</v>
      </c>
      <c r="R69" s="40">
        <f t="shared" si="7"/>
        <v>313100000</v>
      </c>
      <c r="S69" s="40"/>
      <c r="T69" s="40"/>
      <c r="U69" s="40"/>
    </row>
    <row r="70" spans="3:21" ht="11.25">
      <c r="C70" s="5" t="s">
        <v>60</v>
      </c>
      <c r="F70" s="40">
        <v>1500000</v>
      </c>
      <c r="G70" s="40">
        <v>1200000</v>
      </c>
      <c r="H70" s="40">
        <v>1400000</v>
      </c>
      <c r="I70" s="40">
        <v>1200000</v>
      </c>
      <c r="J70" s="40">
        <v>1200000</v>
      </c>
      <c r="K70" s="40">
        <v>1200000</v>
      </c>
      <c r="L70" s="40">
        <v>1100000</v>
      </c>
      <c r="M70" s="40">
        <v>1000000</v>
      </c>
      <c r="N70" s="40">
        <v>1000000</v>
      </c>
      <c r="O70" s="40">
        <v>1200000</v>
      </c>
      <c r="P70" s="40">
        <v>1200000</v>
      </c>
      <c r="Q70" s="40">
        <v>1600000</v>
      </c>
      <c r="R70" s="40">
        <f t="shared" si="7"/>
        <v>14800000</v>
      </c>
      <c r="S70" s="40"/>
      <c r="T70" s="40"/>
      <c r="U70" s="40"/>
    </row>
    <row r="71" spans="3:21" ht="11.25">
      <c r="C71" s="5" t="s">
        <v>61</v>
      </c>
      <c r="F71" s="40">
        <v>19000000</v>
      </c>
      <c r="G71" s="40">
        <v>17200000</v>
      </c>
      <c r="H71" s="40">
        <v>19000000</v>
      </c>
      <c r="I71" s="40">
        <v>18400000</v>
      </c>
      <c r="J71" s="40">
        <v>19000000</v>
      </c>
      <c r="K71" s="40">
        <v>18400000</v>
      </c>
      <c r="L71" s="40">
        <v>19000000</v>
      </c>
      <c r="M71" s="40">
        <v>19000000</v>
      </c>
      <c r="N71" s="40">
        <v>18400000</v>
      </c>
      <c r="O71" s="40">
        <v>19000000</v>
      </c>
      <c r="P71" s="40">
        <v>18400000</v>
      </c>
      <c r="Q71" s="40">
        <v>19000000</v>
      </c>
      <c r="R71" s="40">
        <f t="shared" si="7"/>
        <v>223800000</v>
      </c>
      <c r="S71" s="40"/>
      <c r="T71" s="40"/>
      <c r="U71" s="40"/>
    </row>
    <row r="72" spans="3:21" ht="11.25">
      <c r="C72" s="5" t="s">
        <v>62</v>
      </c>
      <c r="F72" s="40">
        <v>600000</v>
      </c>
      <c r="G72" s="40">
        <v>500000</v>
      </c>
      <c r="H72" s="40">
        <v>600000</v>
      </c>
      <c r="I72" s="40">
        <v>500000</v>
      </c>
      <c r="J72" s="40">
        <v>600000</v>
      </c>
      <c r="K72" s="40">
        <v>500000</v>
      </c>
      <c r="L72" s="40">
        <v>600000</v>
      </c>
      <c r="M72" s="40">
        <v>600000</v>
      </c>
      <c r="N72" s="40">
        <v>500000</v>
      </c>
      <c r="O72" s="40">
        <v>600000</v>
      </c>
      <c r="P72" s="40">
        <v>500000</v>
      </c>
      <c r="Q72" s="40">
        <v>600000</v>
      </c>
      <c r="R72" s="40">
        <f t="shared" si="7"/>
        <v>6700000</v>
      </c>
      <c r="S72" s="40"/>
      <c r="T72" s="40"/>
      <c r="U72" s="40"/>
    </row>
    <row r="73" spans="6:21" ht="11.25">
      <c r="F73" s="40" t="s">
        <v>63</v>
      </c>
      <c r="G73" s="40" t="s">
        <v>63</v>
      </c>
      <c r="H73" s="40" t="s">
        <v>63</v>
      </c>
      <c r="I73" s="40" t="s">
        <v>63</v>
      </c>
      <c r="J73" s="40" t="s">
        <v>63</v>
      </c>
      <c r="K73" s="40" t="s">
        <v>63</v>
      </c>
      <c r="L73" s="40" t="s">
        <v>63</v>
      </c>
      <c r="M73" s="40" t="s">
        <v>63</v>
      </c>
      <c r="N73" s="40" t="s">
        <v>63</v>
      </c>
      <c r="O73" s="40" t="s">
        <v>63</v>
      </c>
      <c r="P73" s="40" t="s">
        <v>63</v>
      </c>
      <c r="Q73" s="40" t="s">
        <v>63</v>
      </c>
      <c r="R73" s="40"/>
      <c r="S73" s="40"/>
      <c r="T73" s="40"/>
      <c r="U73" s="40"/>
    </row>
    <row r="74" spans="6:21" ht="11.25">
      <c r="F74" s="41">
        <f aca="true" t="shared" si="8" ref="F74:Q74">SUM(F65:F73)</f>
        <v>107000000</v>
      </c>
      <c r="G74" s="41">
        <f t="shared" si="8"/>
        <v>96600000</v>
      </c>
      <c r="H74" s="41">
        <f t="shared" si="8"/>
        <v>106200000</v>
      </c>
      <c r="I74" s="41">
        <f t="shared" si="8"/>
        <v>106300000</v>
      </c>
      <c r="J74" s="41">
        <f t="shared" si="8"/>
        <v>107900000</v>
      </c>
      <c r="K74" s="41">
        <f t="shared" si="8"/>
        <v>104800000</v>
      </c>
      <c r="L74" s="41">
        <f t="shared" si="8"/>
        <v>106200000</v>
      </c>
      <c r="M74" s="41">
        <f t="shared" si="8"/>
        <v>107400000</v>
      </c>
      <c r="N74" s="41">
        <f t="shared" si="8"/>
        <v>99800000</v>
      </c>
      <c r="O74" s="41">
        <f t="shared" si="8"/>
        <v>106900000</v>
      </c>
      <c r="P74" s="41">
        <f t="shared" si="8"/>
        <v>103200000</v>
      </c>
      <c r="Q74" s="41">
        <f t="shared" si="8"/>
        <v>96900000</v>
      </c>
      <c r="R74" s="41">
        <f>SUM(F74:Q74)</f>
        <v>1249200000</v>
      </c>
      <c r="S74" s="40"/>
      <c r="T74" s="40"/>
      <c r="U74" s="40"/>
    </row>
    <row r="75" spans="6:21" ht="11.25"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6:21" ht="12" thickBot="1">
      <c r="F76" s="44">
        <f>+F58+F74</f>
        <v>594300000</v>
      </c>
      <c r="G76" s="44">
        <f aca="true" t="shared" si="9" ref="G76:Q76">+G58+G74</f>
        <v>557000000</v>
      </c>
      <c r="H76" s="44">
        <f t="shared" si="9"/>
        <v>552600000</v>
      </c>
      <c r="I76" s="44">
        <f t="shared" si="9"/>
        <v>482300000</v>
      </c>
      <c r="J76" s="44">
        <f t="shared" si="9"/>
        <v>429800000</v>
      </c>
      <c r="K76" s="44">
        <f t="shared" si="9"/>
        <v>370500000</v>
      </c>
      <c r="L76" s="44">
        <f t="shared" si="9"/>
        <v>345400000</v>
      </c>
      <c r="M76" s="44">
        <f t="shared" si="9"/>
        <v>346100000</v>
      </c>
      <c r="N76" s="44">
        <f t="shared" si="9"/>
        <v>356600000</v>
      </c>
      <c r="O76" s="44">
        <f t="shared" si="9"/>
        <v>434600000</v>
      </c>
      <c r="P76" s="44">
        <f t="shared" si="9"/>
        <v>489700000</v>
      </c>
      <c r="Q76" s="44">
        <f t="shared" si="9"/>
        <v>574400000</v>
      </c>
      <c r="R76" s="44">
        <f>SUM(F76:Q76)</f>
        <v>5533300000</v>
      </c>
      <c r="S76" s="40"/>
      <c r="T76" s="40"/>
      <c r="U76" s="40"/>
    </row>
    <row r="77" spans="6:21" ht="12" thickTop="1"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6:21" ht="11.25"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1:21" ht="11.25">
      <c r="A79" s="15" t="s">
        <v>52</v>
      </c>
      <c r="B79" s="15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1:21" ht="11.25">
      <c r="A80" s="15"/>
      <c r="B80" s="15" t="s">
        <v>51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3:21" ht="12" thickBot="1">
      <c r="C81" s="5" t="s">
        <v>53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f>SUM(F81:Q81)</f>
        <v>0</v>
      </c>
      <c r="S81" s="40"/>
      <c r="T81" s="40"/>
      <c r="U81" s="40"/>
    </row>
    <row r="82" spans="6:21" ht="12" thickTop="1"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0:21" ht="11.25">
      <c r="T83" s="40"/>
      <c r="U83" s="40"/>
    </row>
    <row r="84" spans="6:21" ht="11.25"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6:21" ht="11.25"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6:21" ht="11.25"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6:21" ht="11.25"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6:21" ht="11.25"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4:21" ht="11.25">
      <c r="D89" s="1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4:21" ht="11.25">
      <c r="D90" s="2"/>
      <c r="E90" s="3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1:21" ht="11.25">
      <c r="A91" s="13" t="s">
        <v>0</v>
      </c>
      <c r="B91" s="14"/>
      <c r="C91" s="14"/>
      <c r="D91" s="14"/>
      <c r="E91" s="14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0"/>
      <c r="T91" s="40"/>
      <c r="U91" s="40"/>
    </row>
    <row r="92" spans="1:21" ht="11.25">
      <c r="A92" s="13" t="s">
        <v>1</v>
      </c>
      <c r="B92" s="14"/>
      <c r="C92" s="14"/>
      <c r="D92" s="14"/>
      <c r="E92" s="14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0"/>
      <c r="T92" s="40"/>
      <c r="U92" s="40"/>
    </row>
    <row r="93" spans="1:21" ht="11.25">
      <c r="A93" s="13" t="s">
        <v>67</v>
      </c>
      <c r="B93" s="14"/>
      <c r="C93" s="14"/>
      <c r="D93" s="14"/>
      <c r="E93" s="14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0"/>
      <c r="T93" s="40"/>
      <c r="U93" s="40"/>
    </row>
    <row r="94" spans="1:21" ht="11.25">
      <c r="A94" s="13" t="str">
        <f>Summary!$A$4</f>
        <v>Forecast 2001</v>
      </c>
      <c r="B94" s="14"/>
      <c r="C94" s="14"/>
      <c r="D94" s="14"/>
      <c r="E94" s="14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0"/>
      <c r="T94" s="40"/>
      <c r="U94" s="40"/>
    </row>
    <row r="95" spans="1:21" ht="11.25">
      <c r="A95" s="4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6:21" ht="11.25"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6:21" ht="11.25">
      <c r="F97" s="46" t="s">
        <v>3</v>
      </c>
      <c r="G97" s="46" t="s">
        <v>4</v>
      </c>
      <c r="H97" s="46" t="s">
        <v>5</v>
      </c>
      <c r="I97" s="46" t="s">
        <v>6</v>
      </c>
      <c r="J97" s="46" t="s">
        <v>7</v>
      </c>
      <c r="K97" s="46" t="s">
        <v>8</v>
      </c>
      <c r="L97" s="46" t="s">
        <v>9</v>
      </c>
      <c r="M97" s="46" t="s">
        <v>10</v>
      </c>
      <c r="N97" s="46" t="s">
        <v>11</v>
      </c>
      <c r="O97" s="46" t="s">
        <v>12</v>
      </c>
      <c r="P97" s="46" t="s">
        <v>13</v>
      </c>
      <c r="Q97" s="46" t="s">
        <v>14</v>
      </c>
      <c r="R97" s="46" t="s">
        <v>64</v>
      </c>
      <c r="S97" s="40"/>
      <c r="T97" s="40"/>
      <c r="U97" s="40"/>
    </row>
    <row r="98" spans="6:21" ht="11.25"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1:21" ht="11.25">
      <c r="A99" s="15" t="s">
        <v>50</v>
      </c>
      <c r="B99" s="15"/>
      <c r="C99" s="15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1:21" ht="11.25">
      <c r="A100" s="15"/>
      <c r="B100" s="15" t="s">
        <v>51</v>
      </c>
      <c r="C100" s="15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3:21" ht="11.25">
      <c r="C101" s="5" t="s">
        <v>53</v>
      </c>
      <c r="F101" s="40">
        <f>+F11-F56</f>
        <v>41200000</v>
      </c>
      <c r="G101" s="40">
        <f aca="true" t="shared" si="10" ref="G101:Q101">+G11-G56</f>
        <v>6500000</v>
      </c>
      <c r="H101" s="40">
        <f t="shared" si="10"/>
        <v>25500000</v>
      </c>
      <c r="I101" s="40">
        <f t="shared" si="10"/>
        <v>3200000</v>
      </c>
      <c r="J101" s="40">
        <f t="shared" si="10"/>
        <v>3900000</v>
      </c>
      <c r="K101" s="40">
        <f t="shared" si="10"/>
        <v>4500000</v>
      </c>
      <c r="L101" s="40">
        <f t="shared" si="10"/>
        <v>10200000</v>
      </c>
      <c r="M101" s="40">
        <f t="shared" si="10"/>
        <v>5100000</v>
      </c>
      <c r="N101" s="40">
        <f t="shared" si="10"/>
        <v>5400000</v>
      </c>
      <c r="O101" s="40">
        <f t="shared" si="10"/>
        <v>-2100000</v>
      </c>
      <c r="P101" s="40">
        <f t="shared" si="10"/>
        <v>3000000</v>
      </c>
      <c r="Q101" s="40">
        <f t="shared" si="10"/>
        <v>8900000</v>
      </c>
      <c r="R101" s="40">
        <f>SUM(F101:Q101)</f>
        <v>115300000</v>
      </c>
      <c r="S101" s="40"/>
      <c r="T101" s="40"/>
      <c r="U101" s="40"/>
    </row>
    <row r="102" spans="6:21" ht="11.25"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6:21" ht="11.25">
      <c r="F103" s="41">
        <f>SUM(F101:F102)</f>
        <v>41200000</v>
      </c>
      <c r="G103" s="41">
        <f aca="true" t="shared" si="11" ref="G103:Q103">SUM(G101:G102)</f>
        <v>6500000</v>
      </c>
      <c r="H103" s="41">
        <f t="shared" si="11"/>
        <v>25500000</v>
      </c>
      <c r="I103" s="41">
        <f t="shared" si="11"/>
        <v>3200000</v>
      </c>
      <c r="J103" s="41">
        <f t="shared" si="11"/>
        <v>3900000</v>
      </c>
      <c r="K103" s="41">
        <f t="shared" si="11"/>
        <v>4500000</v>
      </c>
      <c r="L103" s="41">
        <f t="shared" si="11"/>
        <v>10200000</v>
      </c>
      <c r="M103" s="41">
        <f t="shared" si="11"/>
        <v>5100000</v>
      </c>
      <c r="N103" s="41">
        <f t="shared" si="11"/>
        <v>5400000</v>
      </c>
      <c r="O103" s="41">
        <f t="shared" si="11"/>
        <v>-2100000</v>
      </c>
      <c r="P103" s="41">
        <f t="shared" si="11"/>
        <v>3000000</v>
      </c>
      <c r="Q103" s="41">
        <f t="shared" si="11"/>
        <v>8900000</v>
      </c>
      <c r="R103" s="41">
        <f>SUM(F103:Q103)</f>
        <v>115300000</v>
      </c>
      <c r="S103" s="40"/>
      <c r="T103" s="40"/>
      <c r="U103" s="40"/>
    </row>
    <row r="104" spans="6:21" ht="11.25"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6:21" ht="11.25"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1.25">
      <c r="B106" s="15" t="s">
        <v>84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3:21" ht="11.25">
      <c r="C107" s="5" t="s">
        <v>54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4:21" ht="11.25">
      <c r="D108" s="20" t="s">
        <v>55</v>
      </c>
      <c r="F108" s="40">
        <f>+F18-F63</f>
        <v>-1900000</v>
      </c>
      <c r="G108" s="40">
        <f aca="true" t="shared" si="12" ref="G108:Q108">+G18-G63</f>
        <v>-2110000</v>
      </c>
      <c r="H108" s="40">
        <f t="shared" si="12"/>
        <v>-2400000</v>
      </c>
      <c r="I108" s="40">
        <f t="shared" si="12"/>
        <v>-2020000</v>
      </c>
      <c r="J108" s="40">
        <f t="shared" si="12"/>
        <v>-2100000</v>
      </c>
      <c r="K108" s="40">
        <f t="shared" si="12"/>
        <v>-4320000</v>
      </c>
      <c r="L108" s="40">
        <f t="shared" si="12"/>
        <v>-2390000</v>
      </c>
      <c r="M108" s="40">
        <f t="shared" si="12"/>
        <v>-1800000</v>
      </c>
      <c r="N108" s="40">
        <f t="shared" si="12"/>
        <v>-2980000</v>
      </c>
      <c r="O108" s="40">
        <f t="shared" si="12"/>
        <v>-3290000</v>
      </c>
      <c r="P108" s="40">
        <f t="shared" si="12"/>
        <v>-3170000</v>
      </c>
      <c r="Q108" s="40">
        <f t="shared" si="12"/>
        <v>-1340000</v>
      </c>
      <c r="R108" s="40">
        <f>SUM(F108:Q108)</f>
        <v>-29820000</v>
      </c>
      <c r="S108" s="40"/>
      <c r="T108" s="40"/>
      <c r="U108" s="40"/>
    </row>
    <row r="109" spans="4:21" ht="11.25">
      <c r="D109" s="20" t="s">
        <v>56</v>
      </c>
      <c r="F109" s="40">
        <f>+F19-F64</f>
        <v>-1510000</v>
      </c>
      <c r="G109" s="40">
        <f aca="true" t="shared" si="13" ref="G109:Q109">+G19-G64</f>
        <v>-40000</v>
      </c>
      <c r="H109" s="40">
        <f t="shared" si="13"/>
        <v>-1710000</v>
      </c>
      <c r="I109" s="40">
        <f t="shared" si="13"/>
        <v>-2600000</v>
      </c>
      <c r="J109" s="40">
        <f t="shared" si="13"/>
        <v>-790000</v>
      </c>
      <c r="K109" s="40">
        <f t="shared" si="13"/>
        <v>-1430000</v>
      </c>
      <c r="L109" s="40">
        <f t="shared" si="13"/>
        <v>-1510000</v>
      </c>
      <c r="M109" s="40">
        <f t="shared" si="13"/>
        <v>-1410000</v>
      </c>
      <c r="N109" s="40">
        <f t="shared" si="13"/>
        <v>210000</v>
      </c>
      <c r="O109" s="40">
        <f t="shared" si="13"/>
        <v>390000</v>
      </c>
      <c r="P109" s="40">
        <f t="shared" si="13"/>
        <v>370000</v>
      </c>
      <c r="Q109" s="40">
        <f t="shared" si="13"/>
        <v>540000</v>
      </c>
      <c r="R109" s="40">
        <f>SUM(F109:Q109)</f>
        <v>-9490000</v>
      </c>
      <c r="S109" s="40"/>
      <c r="T109" s="40"/>
      <c r="U109" s="40"/>
    </row>
    <row r="110" spans="6:21" ht="11.25">
      <c r="F110" s="43">
        <f>SUM(F108:F109)</f>
        <v>-3410000</v>
      </c>
      <c r="G110" s="43">
        <f aca="true" t="shared" si="14" ref="G110:Q110">SUM(G108:G109)</f>
        <v>-2150000</v>
      </c>
      <c r="H110" s="43">
        <f t="shared" si="14"/>
        <v>-4110000</v>
      </c>
      <c r="I110" s="43">
        <f t="shared" si="14"/>
        <v>-4620000</v>
      </c>
      <c r="J110" s="43">
        <f t="shared" si="14"/>
        <v>-2890000</v>
      </c>
      <c r="K110" s="43">
        <f t="shared" si="14"/>
        <v>-5750000</v>
      </c>
      <c r="L110" s="43">
        <f t="shared" si="14"/>
        <v>-3900000</v>
      </c>
      <c r="M110" s="43">
        <f t="shared" si="14"/>
        <v>-3210000</v>
      </c>
      <c r="N110" s="43">
        <f t="shared" si="14"/>
        <v>-2770000</v>
      </c>
      <c r="O110" s="43">
        <f t="shared" si="14"/>
        <v>-2900000</v>
      </c>
      <c r="P110" s="43">
        <f t="shared" si="14"/>
        <v>-2800000</v>
      </c>
      <c r="Q110" s="43">
        <f t="shared" si="14"/>
        <v>-800000</v>
      </c>
      <c r="R110" s="43">
        <f>SUM(F110:Q110)</f>
        <v>-39310000</v>
      </c>
      <c r="S110" s="40"/>
      <c r="T110" s="40"/>
      <c r="U110" s="40"/>
    </row>
    <row r="111" spans="6:21" ht="11.25"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3:21" ht="11.25">
      <c r="C112" s="5" t="s">
        <v>57</v>
      </c>
      <c r="F112" s="40">
        <f aca="true" t="shared" si="15" ref="F112:F117">+F22-F67</f>
        <v>5845000</v>
      </c>
      <c r="G112" s="40">
        <f aca="true" t="shared" si="16" ref="G112:Q112">+G22-G67</f>
        <v>5502000</v>
      </c>
      <c r="H112" s="40">
        <f t="shared" si="16"/>
        <v>8817000</v>
      </c>
      <c r="I112" s="40">
        <f t="shared" si="16"/>
        <v>5845000</v>
      </c>
      <c r="J112" s="40">
        <f t="shared" si="16"/>
        <v>-1840000</v>
      </c>
      <c r="K112" s="40">
        <f t="shared" si="16"/>
        <v>5845000</v>
      </c>
      <c r="L112" s="40">
        <f t="shared" si="16"/>
        <v>7417000</v>
      </c>
      <c r="M112" s="40">
        <f t="shared" si="16"/>
        <v>6017000</v>
      </c>
      <c r="N112" s="40">
        <f t="shared" si="16"/>
        <v>5674000</v>
      </c>
      <c r="O112" s="40">
        <f t="shared" si="16"/>
        <v>6017000</v>
      </c>
      <c r="P112" s="40">
        <f t="shared" si="16"/>
        <v>5845000</v>
      </c>
      <c r="Q112" s="40">
        <f t="shared" si="16"/>
        <v>9645000</v>
      </c>
      <c r="R112" s="40">
        <f aca="true" t="shared" si="17" ref="R112:R117">SUM(F112:Q112)</f>
        <v>70629000</v>
      </c>
      <c r="S112" s="40"/>
      <c r="T112" s="40"/>
      <c r="U112" s="40"/>
    </row>
    <row r="113" spans="3:21" ht="11.25">
      <c r="C113" s="5" t="s">
        <v>58</v>
      </c>
      <c r="F113" s="40">
        <f t="shared" si="15"/>
        <v>-160000</v>
      </c>
      <c r="G113" s="40">
        <f aca="true" t="shared" si="18" ref="G113:Q113">+G23-G68</f>
        <v>120000</v>
      </c>
      <c r="H113" s="40">
        <f t="shared" si="18"/>
        <v>60000</v>
      </c>
      <c r="I113" s="40">
        <f t="shared" si="18"/>
        <v>110000</v>
      </c>
      <c r="J113" s="40">
        <f t="shared" si="18"/>
        <v>60000</v>
      </c>
      <c r="K113" s="40">
        <f t="shared" si="18"/>
        <v>110000</v>
      </c>
      <c r="L113" s="40">
        <f t="shared" si="18"/>
        <v>160000</v>
      </c>
      <c r="M113" s="40">
        <f t="shared" si="18"/>
        <v>160000</v>
      </c>
      <c r="N113" s="40">
        <f t="shared" si="18"/>
        <v>210000</v>
      </c>
      <c r="O113" s="40">
        <f t="shared" si="18"/>
        <v>-40000</v>
      </c>
      <c r="P113" s="40">
        <f t="shared" si="18"/>
        <v>110000</v>
      </c>
      <c r="Q113" s="40">
        <f t="shared" si="18"/>
        <v>160000</v>
      </c>
      <c r="R113" s="40">
        <f t="shared" si="17"/>
        <v>1060000</v>
      </c>
      <c r="S113" s="40"/>
      <c r="T113" s="40"/>
      <c r="U113" s="40"/>
    </row>
    <row r="114" spans="3:21" ht="11.25">
      <c r="C114" s="5" t="s">
        <v>59</v>
      </c>
      <c r="F114" s="40">
        <f t="shared" si="15"/>
        <v>2540000</v>
      </c>
      <c r="G114" s="40">
        <f aca="true" t="shared" si="19" ref="G114:Q114">+G24-G69</f>
        <v>6900000</v>
      </c>
      <c r="H114" s="40">
        <f t="shared" si="19"/>
        <v>7600000</v>
      </c>
      <c r="I114" s="40">
        <f t="shared" si="19"/>
        <v>5715000</v>
      </c>
      <c r="J114" s="40">
        <f t="shared" si="19"/>
        <v>3729000</v>
      </c>
      <c r="K114" s="40">
        <f t="shared" si="19"/>
        <v>3639000</v>
      </c>
      <c r="L114" s="40">
        <f t="shared" si="19"/>
        <v>6769000</v>
      </c>
      <c r="M114" s="40">
        <f t="shared" si="19"/>
        <v>6769000</v>
      </c>
      <c r="N114" s="40">
        <f t="shared" si="19"/>
        <v>9920000</v>
      </c>
      <c r="O114" s="40">
        <f t="shared" si="19"/>
        <v>7832000</v>
      </c>
      <c r="P114" s="40">
        <f t="shared" si="19"/>
        <v>6589000</v>
      </c>
      <c r="Q114" s="40">
        <f t="shared" si="19"/>
        <v>8869000</v>
      </c>
      <c r="R114" s="40">
        <f t="shared" si="17"/>
        <v>76871000</v>
      </c>
      <c r="S114" s="40"/>
      <c r="T114" s="40"/>
      <c r="U114" s="40"/>
    </row>
    <row r="115" spans="3:21" ht="11.25">
      <c r="C115" s="5" t="s">
        <v>60</v>
      </c>
      <c r="F115" s="40">
        <f t="shared" si="15"/>
        <v>-1500000</v>
      </c>
      <c r="G115" s="40">
        <f aca="true" t="shared" si="20" ref="G115:Q115">+G25-G70</f>
        <v>-1200000</v>
      </c>
      <c r="H115" s="40">
        <f t="shared" si="20"/>
        <v>-1400000</v>
      </c>
      <c r="I115" s="40">
        <f t="shared" si="20"/>
        <v>-1200000</v>
      </c>
      <c r="J115" s="40">
        <f t="shared" si="20"/>
        <v>-1200000</v>
      </c>
      <c r="K115" s="40">
        <f t="shared" si="20"/>
        <v>-1200000</v>
      </c>
      <c r="L115" s="40">
        <f t="shared" si="20"/>
        <v>-1100000</v>
      </c>
      <c r="M115" s="40">
        <f t="shared" si="20"/>
        <v>-1000000</v>
      </c>
      <c r="N115" s="40">
        <f t="shared" si="20"/>
        <v>-1000000</v>
      </c>
      <c r="O115" s="40">
        <f t="shared" si="20"/>
        <v>-1200000</v>
      </c>
      <c r="P115" s="40">
        <f t="shared" si="20"/>
        <v>-1200000</v>
      </c>
      <c r="Q115" s="40">
        <f t="shared" si="20"/>
        <v>-1600000</v>
      </c>
      <c r="R115" s="40">
        <f t="shared" si="17"/>
        <v>-14800000</v>
      </c>
      <c r="S115" s="40"/>
      <c r="T115" s="40"/>
      <c r="U115" s="40"/>
    </row>
    <row r="116" spans="3:21" ht="11.25">
      <c r="C116" s="5" t="s">
        <v>61</v>
      </c>
      <c r="F116" s="40">
        <f t="shared" si="15"/>
        <v>1500000</v>
      </c>
      <c r="G116" s="40">
        <f aca="true" t="shared" si="21" ref="G116:Q116">+G26-G71</f>
        <v>3200000</v>
      </c>
      <c r="H116" s="40">
        <f t="shared" si="21"/>
        <v>1200000</v>
      </c>
      <c r="I116" s="40">
        <f t="shared" si="21"/>
        <v>1500000</v>
      </c>
      <c r="J116" s="40">
        <f t="shared" si="21"/>
        <v>-6500000</v>
      </c>
      <c r="K116" s="40">
        <f t="shared" si="21"/>
        <v>1500000</v>
      </c>
      <c r="L116" s="40">
        <f t="shared" si="21"/>
        <v>700000</v>
      </c>
      <c r="M116" s="40">
        <f t="shared" si="21"/>
        <v>700000</v>
      </c>
      <c r="N116" s="40">
        <f t="shared" si="21"/>
        <v>1500000</v>
      </c>
      <c r="O116" s="40">
        <f t="shared" si="21"/>
        <v>1300000</v>
      </c>
      <c r="P116" s="40">
        <f t="shared" si="21"/>
        <v>1800000</v>
      </c>
      <c r="Q116" s="40">
        <f t="shared" si="21"/>
        <v>1400000</v>
      </c>
      <c r="R116" s="40">
        <f t="shared" si="17"/>
        <v>9800000</v>
      </c>
      <c r="S116" s="40"/>
      <c r="T116" s="40"/>
      <c r="U116" s="40"/>
    </row>
    <row r="117" spans="3:21" ht="11.25">
      <c r="C117" s="5" t="s">
        <v>62</v>
      </c>
      <c r="F117" s="40">
        <f t="shared" si="15"/>
        <v>-600000</v>
      </c>
      <c r="G117" s="40">
        <f aca="true" t="shared" si="22" ref="G117:Q117">+G27-G72</f>
        <v>-500000</v>
      </c>
      <c r="H117" s="40">
        <f t="shared" si="22"/>
        <v>-600000</v>
      </c>
      <c r="I117" s="40">
        <f t="shared" si="22"/>
        <v>-500000</v>
      </c>
      <c r="J117" s="40">
        <f t="shared" si="22"/>
        <v>-600000</v>
      </c>
      <c r="K117" s="40">
        <f t="shared" si="22"/>
        <v>-500000</v>
      </c>
      <c r="L117" s="40">
        <f t="shared" si="22"/>
        <v>-600000</v>
      </c>
      <c r="M117" s="40">
        <f t="shared" si="22"/>
        <v>-600000</v>
      </c>
      <c r="N117" s="40">
        <f t="shared" si="22"/>
        <v>-500000</v>
      </c>
      <c r="O117" s="40">
        <f t="shared" si="22"/>
        <v>-600000</v>
      </c>
      <c r="P117" s="40">
        <f t="shared" si="22"/>
        <v>-500000</v>
      </c>
      <c r="Q117" s="40">
        <f t="shared" si="22"/>
        <v>-600000</v>
      </c>
      <c r="R117" s="40">
        <f t="shared" si="17"/>
        <v>-6700000</v>
      </c>
      <c r="S117" s="40"/>
      <c r="T117" s="40"/>
      <c r="U117" s="40"/>
    </row>
    <row r="118" spans="6:21" ht="11.25">
      <c r="F118" s="40" t="s">
        <v>63</v>
      </c>
      <c r="G118" s="40" t="s">
        <v>63</v>
      </c>
      <c r="H118" s="40" t="s">
        <v>63</v>
      </c>
      <c r="I118" s="40" t="s">
        <v>63</v>
      </c>
      <c r="J118" s="40" t="s">
        <v>63</v>
      </c>
      <c r="K118" s="40" t="s">
        <v>63</v>
      </c>
      <c r="L118" s="40" t="s">
        <v>63</v>
      </c>
      <c r="M118" s="40" t="s">
        <v>63</v>
      </c>
      <c r="N118" s="40" t="s">
        <v>63</v>
      </c>
      <c r="O118" s="40" t="s">
        <v>63</v>
      </c>
      <c r="P118" s="40" t="s">
        <v>63</v>
      </c>
      <c r="Q118" s="40" t="s">
        <v>63</v>
      </c>
      <c r="R118" s="40"/>
      <c r="S118" s="40"/>
      <c r="T118" s="40"/>
      <c r="U118" s="40"/>
    </row>
    <row r="119" spans="6:21" ht="11.25">
      <c r="F119" s="41">
        <f>SUM(F110:F118)</f>
        <v>4215000</v>
      </c>
      <c r="G119" s="41">
        <f aca="true" t="shared" si="23" ref="G119:Q119">SUM(G110:G118)</f>
        <v>11872000</v>
      </c>
      <c r="H119" s="41">
        <f t="shared" si="23"/>
        <v>11567000</v>
      </c>
      <c r="I119" s="41">
        <f t="shared" si="23"/>
        <v>6850000</v>
      </c>
      <c r="J119" s="41">
        <f t="shared" si="23"/>
        <v>-9241000</v>
      </c>
      <c r="K119" s="41">
        <f t="shared" si="23"/>
        <v>3644000</v>
      </c>
      <c r="L119" s="41">
        <f t="shared" si="23"/>
        <v>9446000</v>
      </c>
      <c r="M119" s="41">
        <f t="shared" si="23"/>
        <v>8836000</v>
      </c>
      <c r="N119" s="41">
        <f t="shared" si="23"/>
        <v>13034000</v>
      </c>
      <c r="O119" s="41">
        <f t="shared" si="23"/>
        <v>10409000</v>
      </c>
      <c r="P119" s="41">
        <f t="shared" si="23"/>
        <v>9844000</v>
      </c>
      <c r="Q119" s="41">
        <f t="shared" si="23"/>
        <v>17074000</v>
      </c>
      <c r="R119" s="41">
        <f>SUM(F119:Q119)</f>
        <v>97550000</v>
      </c>
      <c r="S119" s="40"/>
      <c r="T119" s="40"/>
      <c r="U119" s="40"/>
    </row>
    <row r="120" spans="6:21" ht="11.25"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6:21" ht="12" thickBot="1">
      <c r="F121" s="44">
        <f>+F103+F119</f>
        <v>45415000</v>
      </c>
      <c r="G121" s="44">
        <f aca="true" t="shared" si="24" ref="G121:Q121">+G103+G119</f>
        <v>18372000</v>
      </c>
      <c r="H121" s="44">
        <f t="shared" si="24"/>
        <v>37067000</v>
      </c>
      <c r="I121" s="44">
        <f t="shared" si="24"/>
        <v>10050000</v>
      </c>
      <c r="J121" s="44">
        <f t="shared" si="24"/>
        <v>-5341000</v>
      </c>
      <c r="K121" s="44">
        <f t="shared" si="24"/>
        <v>8144000</v>
      </c>
      <c r="L121" s="44">
        <f t="shared" si="24"/>
        <v>19646000</v>
      </c>
      <c r="M121" s="44">
        <f t="shared" si="24"/>
        <v>13936000</v>
      </c>
      <c r="N121" s="44">
        <f t="shared" si="24"/>
        <v>18434000</v>
      </c>
      <c r="O121" s="44">
        <f t="shared" si="24"/>
        <v>8309000</v>
      </c>
      <c r="P121" s="44">
        <f t="shared" si="24"/>
        <v>12844000</v>
      </c>
      <c r="Q121" s="44">
        <f t="shared" si="24"/>
        <v>25974000</v>
      </c>
      <c r="R121" s="44">
        <f>SUM(F121:Q121)</f>
        <v>212850000</v>
      </c>
      <c r="S121" s="40"/>
      <c r="T121" s="40"/>
      <c r="U121" s="40"/>
    </row>
    <row r="122" spans="6:21" ht="12" thickTop="1"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6:21" ht="11.25"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1:21" ht="11.25">
      <c r="A124" s="15" t="s">
        <v>52</v>
      </c>
      <c r="B124" s="15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1:21" ht="11.25">
      <c r="A125" s="15"/>
      <c r="B125" s="15" t="s">
        <v>51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3:21" ht="12" thickBot="1">
      <c r="C126" s="5" t="s">
        <v>53</v>
      </c>
      <c r="F126" s="44">
        <f>+F36-F81</f>
        <v>0</v>
      </c>
      <c r="G126" s="44">
        <f aca="true" t="shared" si="25" ref="G126:Q126">+G36-G81</f>
        <v>0</v>
      </c>
      <c r="H126" s="44">
        <f t="shared" si="25"/>
        <v>0</v>
      </c>
      <c r="I126" s="44">
        <f t="shared" si="25"/>
        <v>0</v>
      </c>
      <c r="J126" s="44">
        <f t="shared" si="25"/>
        <v>0</v>
      </c>
      <c r="K126" s="44">
        <f t="shared" si="25"/>
        <v>0</v>
      </c>
      <c r="L126" s="44">
        <f t="shared" si="25"/>
        <v>0</v>
      </c>
      <c r="M126" s="44">
        <f t="shared" si="25"/>
        <v>0</v>
      </c>
      <c r="N126" s="44">
        <f t="shared" si="25"/>
        <v>0</v>
      </c>
      <c r="O126" s="44">
        <f t="shared" si="25"/>
        <v>0</v>
      </c>
      <c r="P126" s="44">
        <f t="shared" si="25"/>
        <v>0</v>
      </c>
      <c r="Q126" s="44">
        <f t="shared" si="25"/>
        <v>0</v>
      </c>
      <c r="R126" s="44">
        <f>SUM(F126:Q126)</f>
        <v>0</v>
      </c>
      <c r="S126" s="40"/>
      <c r="T126" s="40"/>
      <c r="U126" s="40"/>
    </row>
    <row r="127" spans="6:21" ht="12" thickTop="1"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6:21" ht="11.25"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6:21" ht="11.25"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</row>
    <row r="130" spans="6:21" ht="11.25"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</row>
    <row r="131" spans="6:18" ht="11.25"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6:18" ht="11.25"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6:18" ht="11.25"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4:18" ht="11.25">
      <c r="D134" s="1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4:18" ht="11.25">
      <c r="D135" s="2"/>
      <c r="E135" s="3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1.25">
      <c r="A136" s="13" t="s">
        <v>0</v>
      </c>
      <c r="B136" s="14"/>
      <c r="C136" s="14"/>
      <c r="D136" s="14"/>
      <c r="E136" s="1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</row>
    <row r="137" spans="1:18" ht="11.25">
      <c r="A137" s="13" t="s">
        <v>1</v>
      </c>
      <c r="B137" s="14"/>
      <c r="C137" s="14"/>
      <c r="D137" s="14"/>
      <c r="E137" s="1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1:18" ht="11.25">
      <c r="A138" s="13" t="s">
        <v>89</v>
      </c>
      <c r="B138" s="14"/>
      <c r="C138" s="14"/>
      <c r="D138" s="14"/>
      <c r="E138" s="1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</row>
    <row r="139" spans="1:18" ht="11.25">
      <c r="A139" s="13" t="str">
        <f>Summary!$A$4</f>
        <v>Forecast 2001</v>
      </c>
      <c r="B139" s="14"/>
      <c r="C139" s="14"/>
      <c r="D139" s="14"/>
      <c r="E139" s="1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</row>
    <row r="140" spans="1:18" ht="11.25">
      <c r="A140" s="4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6:18" ht="11.25"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6:18" ht="11.25">
      <c r="F142" s="39" t="s">
        <v>3</v>
      </c>
      <c r="G142" s="39" t="s">
        <v>4</v>
      </c>
      <c r="H142" s="39" t="s">
        <v>5</v>
      </c>
      <c r="I142" s="39" t="s">
        <v>6</v>
      </c>
      <c r="J142" s="39" t="s">
        <v>7</v>
      </c>
      <c r="K142" s="39" t="s">
        <v>8</v>
      </c>
      <c r="L142" s="39" t="s">
        <v>9</v>
      </c>
      <c r="M142" s="39" t="s">
        <v>10</v>
      </c>
      <c r="N142" s="39" t="s">
        <v>11</v>
      </c>
      <c r="O142" s="39" t="s">
        <v>12</v>
      </c>
      <c r="P142" s="39" t="s">
        <v>13</v>
      </c>
      <c r="Q142" s="39" t="s">
        <v>14</v>
      </c>
      <c r="R142" s="39" t="s">
        <v>64</v>
      </c>
    </row>
    <row r="143" spans="6:18" ht="11.25"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1.25">
      <c r="A144" s="15" t="s">
        <v>50</v>
      </c>
      <c r="B144" s="15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1.25">
      <c r="A145" s="15"/>
      <c r="B145" s="15" t="s">
        <v>51</v>
      </c>
      <c r="F145" s="19">
        <f>+ROUND(F101*J161/1000,2)</f>
        <v>-1028352</v>
      </c>
      <c r="G145" s="19">
        <f>+ROUND(G101*J162/1000,2)</f>
        <v>-161265</v>
      </c>
      <c r="H145" s="19">
        <f>+ROUND(H101*J163/1000,2)</f>
        <v>-631380</v>
      </c>
      <c r="I145" s="19">
        <f>+ROUND(I101*J164/1000,2)</f>
        <v>-79136</v>
      </c>
      <c r="J145" s="19">
        <f>+ROUND(J101*J165/1000,2)</f>
        <v>-96447</v>
      </c>
      <c r="K145" s="19">
        <f>+ROUND(K101*J166/1000,2)</f>
        <v>-111285</v>
      </c>
      <c r="L145" s="19">
        <f>+ROUND(L101*J167/1000,2)</f>
        <v>-251736</v>
      </c>
      <c r="M145" s="19">
        <f>+ROUND(M101*J168/1000,2)</f>
        <v>-125868</v>
      </c>
      <c r="N145" s="19">
        <f>+ROUND(N101*J169/1000,2)</f>
        <v>-133218</v>
      </c>
      <c r="O145" s="19">
        <f>+ROUND(O101*J170/1000,2)</f>
        <v>51807</v>
      </c>
      <c r="P145" s="19">
        <f>+ROUND(P101*J171/1000,2)</f>
        <v>-73950</v>
      </c>
      <c r="Q145" s="19">
        <f>+ROUND(Q101*J172/1000,2)</f>
        <v>-219385</v>
      </c>
      <c r="R145" s="19">
        <f>SUM(F145:Q145)</f>
        <v>-2860215</v>
      </c>
    </row>
    <row r="146" spans="6:18" ht="11.25"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 t="s">
        <v>63</v>
      </c>
    </row>
    <row r="147" spans="2:18" ht="11.25">
      <c r="B147" s="15" t="s">
        <v>84</v>
      </c>
      <c r="F147" s="19">
        <f>ROUND(F119*R161/1000,2)</f>
        <v>4257.15</v>
      </c>
      <c r="G147" s="19">
        <f>ROUND(G119*R162/1000,2)</f>
        <v>13771.52</v>
      </c>
      <c r="H147" s="19">
        <f>ROUND(H119*R163/1000,2)</f>
        <v>13996.07</v>
      </c>
      <c r="I147" s="19">
        <f>ROUND(I119*R164/1000,2)</f>
        <v>8494</v>
      </c>
      <c r="J147" s="19">
        <f>ROUND(J119*R165/1000,2)</f>
        <v>-11458.84</v>
      </c>
      <c r="K147" s="19">
        <f>ROUND(K119*R166/1000,2)</f>
        <v>4518.56</v>
      </c>
      <c r="L147" s="19">
        <f>ROUND(L119*R167/1000,2)</f>
        <v>12185.34</v>
      </c>
      <c r="M147" s="19">
        <f>ROUND(M119*R168/1000,2)</f>
        <v>11398.44</v>
      </c>
      <c r="N147" s="19">
        <f>ROUND(N119*R169/1000,2)</f>
        <v>16944.2</v>
      </c>
      <c r="O147" s="19">
        <f>ROUND(O119*R170/1000,2)</f>
        <v>13531.7</v>
      </c>
      <c r="P147" s="19">
        <f>ROUND(P119*R171/1000,2)</f>
        <v>12994.08</v>
      </c>
      <c r="Q147" s="19">
        <f>ROUND(Q119*R172/1000,2)</f>
        <v>22537.68</v>
      </c>
      <c r="R147" s="19">
        <f>SUM(F147:Q147)</f>
        <v>123169.9</v>
      </c>
    </row>
    <row r="148" spans="6:18" ht="11.25"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 t="s">
        <v>63</v>
      </c>
    </row>
    <row r="149" spans="6:18" ht="12" thickBot="1">
      <c r="F149" s="34">
        <f>SUM(F145:F148)</f>
        <v>-1024094.85</v>
      </c>
      <c r="G149" s="34">
        <f aca="true" t="shared" si="26" ref="G149:Q149">SUM(G145:G148)</f>
        <v>-147493.48</v>
      </c>
      <c r="H149" s="34">
        <f t="shared" si="26"/>
        <v>-617383.93</v>
      </c>
      <c r="I149" s="34">
        <f t="shared" si="26"/>
        <v>-70642</v>
      </c>
      <c r="J149" s="34">
        <f t="shared" si="26"/>
        <v>-107905.84</v>
      </c>
      <c r="K149" s="34">
        <f t="shared" si="26"/>
        <v>-106766.44</v>
      </c>
      <c r="L149" s="34">
        <f t="shared" si="26"/>
        <v>-239550.66</v>
      </c>
      <c r="M149" s="34">
        <f t="shared" si="26"/>
        <v>-114469.56</v>
      </c>
      <c r="N149" s="34">
        <f t="shared" si="26"/>
        <v>-116273.8</v>
      </c>
      <c r="O149" s="34">
        <f t="shared" si="26"/>
        <v>65338.7</v>
      </c>
      <c r="P149" s="34">
        <f t="shared" si="26"/>
        <v>-60955.92</v>
      </c>
      <c r="Q149" s="34">
        <f t="shared" si="26"/>
        <v>-196847.32</v>
      </c>
      <c r="R149" s="34">
        <f>SUM(F149:Q149)</f>
        <v>-2737045.0999999996</v>
      </c>
    </row>
    <row r="150" spans="6:18" ht="12" thickTop="1"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 t="s">
        <v>63</v>
      </c>
    </row>
    <row r="151" spans="6:18" ht="11.25"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 t="s">
        <v>63</v>
      </c>
    </row>
    <row r="152" spans="1:18" ht="11.25">
      <c r="A152" s="15" t="s">
        <v>52</v>
      </c>
      <c r="B152" s="15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 t="s">
        <v>63</v>
      </c>
    </row>
    <row r="153" spans="1:18" ht="12" thickBot="1">
      <c r="A153" s="15"/>
      <c r="B153" s="15" t="s">
        <v>51</v>
      </c>
      <c r="F153" s="32">
        <f>ROUND(-F126*10.4/1000,2)</f>
        <v>0</v>
      </c>
      <c r="G153" s="32">
        <f aca="true" t="shared" si="27" ref="G153:Q153">ROUND(-G126*10.4/1000,2)</f>
        <v>0</v>
      </c>
      <c r="H153" s="32">
        <f t="shared" si="27"/>
        <v>0</v>
      </c>
      <c r="I153" s="32">
        <f t="shared" si="27"/>
        <v>0</v>
      </c>
      <c r="J153" s="32">
        <f t="shared" si="27"/>
        <v>0</v>
      </c>
      <c r="K153" s="32">
        <f t="shared" si="27"/>
        <v>0</v>
      </c>
      <c r="L153" s="32">
        <f t="shared" si="27"/>
        <v>0</v>
      </c>
      <c r="M153" s="32">
        <f t="shared" si="27"/>
        <v>0</v>
      </c>
      <c r="N153" s="32">
        <f t="shared" si="27"/>
        <v>0</v>
      </c>
      <c r="O153" s="32">
        <f t="shared" si="27"/>
        <v>0</v>
      </c>
      <c r="P153" s="32">
        <f t="shared" si="27"/>
        <v>0</v>
      </c>
      <c r="Q153" s="32">
        <f t="shared" si="27"/>
        <v>0</v>
      </c>
      <c r="R153" s="32">
        <f>SUM(F153:Q153)</f>
        <v>0</v>
      </c>
    </row>
    <row r="154" ht="12" thickTop="1"/>
    <row r="157" spans="4:18" ht="11.2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4:18" ht="11.25">
      <c r="D158" s="6"/>
      <c r="E158" s="6"/>
      <c r="F158" s="6"/>
      <c r="G158" s="6" t="s">
        <v>68</v>
      </c>
      <c r="H158" s="6" t="s">
        <v>85</v>
      </c>
      <c r="I158" s="6"/>
      <c r="J158" s="6" t="s">
        <v>86</v>
      </c>
      <c r="K158" s="6"/>
      <c r="L158" s="6"/>
      <c r="M158" s="6"/>
      <c r="N158" s="6"/>
      <c r="O158" s="6" t="s">
        <v>68</v>
      </c>
      <c r="P158" s="6" t="s">
        <v>87</v>
      </c>
      <c r="Q158" s="6"/>
      <c r="R158" s="6" t="s">
        <v>86</v>
      </c>
    </row>
    <row r="159" spans="4:18" ht="11.25">
      <c r="D159" s="6" t="s">
        <v>51</v>
      </c>
      <c r="E159" s="6" t="s">
        <v>68</v>
      </c>
      <c r="F159" s="6" t="s">
        <v>48</v>
      </c>
      <c r="G159" s="6" t="s">
        <v>69</v>
      </c>
      <c r="H159" s="6" t="s">
        <v>49</v>
      </c>
      <c r="I159" s="6" t="s">
        <v>70</v>
      </c>
      <c r="J159" s="6" t="s">
        <v>71</v>
      </c>
      <c r="K159" s="6"/>
      <c r="L159" s="6" t="s">
        <v>84</v>
      </c>
      <c r="M159" s="6" t="s">
        <v>68</v>
      </c>
      <c r="N159" s="6" t="s">
        <v>48</v>
      </c>
      <c r="O159" s="6" t="s">
        <v>69</v>
      </c>
      <c r="P159" s="6" t="s">
        <v>49</v>
      </c>
      <c r="Q159" s="6" t="s">
        <v>70</v>
      </c>
      <c r="R159" s="6" t="s">
        <v>71</v>
      </c>
    </row>
    <row r="161" spans="4:18" ht="11.25">
      <c r="D161" s="5" t="s">
        <v>72</v>
      </c>
      <c r="E161" s="9">
        <v>12.31</v>
      </c>
      <c r="F161" s="21">
        <v>0.605</v>
      </c>
      <c r="G161" s="47">
        <f>SUM(ROUND(E161/F161,4))</f>
        <v>20.3471</v>
      </c>
      <c r="H161" s="47">
        <v>45.31</v>
      </c>
      <c r="I161" s="47">
        <f>+G161-H161</f>
        <v>-24.9629</v>
      </c>
      <c r="J161" s="19">
        <f>+ROUND(I161,2)</f>
        <v>-24.96</v>
      </c>
      <c r="L161" s="9" t="s">
        <v>72</v>
      </c>
      <c r="M161" s="9">
        <v>12.31</v>
      </c>
      <c r="N161" s="48">
        <v>0.605</v>
      </c>
      <c r="O161" s="47">
        <f>SUM(ROUND(M161/N161,4))</f>
        <v>20.3471</v>
      </c>
      <c r="P161" s="47">
        <v>19.34</v>
      </c>
      <c r="Q161" s="47">
        <f>+O161-P161</f>
        <v>1.0071000000000012</v>
      </c>
      <c r="R161" s="19">
        <f>+ROUND(Q161,2)</f>
        <v>1.01</v>
      </c>
    </row>
    <row r="162" spans="4:18" ht="11.25">
      <c r="D162" s="5" t="s">
        <v>73</v>
      </c>
      <c r="E162" s="9">
        <v>12.4</v>
      </c>
      <c r="F162" s="21">
        <v>0.605</v>
      </c>
      <c r="G162" s="47">
        <f aca="true" t="shared" si="28" ref="G162:G172">SUM(ROUND(E162/F162,4))</f>
        <v>20.4959</v>
      </c>
      <c r="H162" s="47">
        <v>45.31</v>
      </c>
      <c r="I162" s="47">
        <f aca="true" t="shared" si="29" ref="I162:I172">+G162-H162</f>
        <v>-24.814100000000003</v>
      </c>
      <c r="J162" s="19">
        <f aca="true" t="shared" si="30" ref="J162:J172">+ROUND(I162,2)</f>
        <v>-24.81</v>
      </c>
      <c r="L162" s="9" t="s">
        <v>73</v>
      </c>
      <c r="M162" s="9">
        <v>12.4</v>
      </c>
      <c r="N162" s="48">
        <v>0.605</v>
      </c>
      <c r="O162" s="47">
        <f aca="true" t="shared" si="31" ref="O162:O172">SUM(ROUND(M162/N162,4))</f>
        <v>20.4959</v>
      </c>
      <c r="P162" s="47">
        <v>19.34</v>
      </c>
      <c r="Q162" s="47">
        <f aca="true" t="shared" si="32" ref="Q162:Q172">+O162-P162</f>
        <v>1.155899999999999</v>
      </c>
      <c r="R162" s="19">
        <f aca="true" t="shared" si="33" ref="R162:R172">+ROUND(Q162,2)</f>
        <v>1.16</v>
      </c>
    </row>
    <row r="163" spans="4:18" ht="11.25">
      <c r="D163" s="5" t="s">
        <v>74</v>
      </c>
      <c r="E163" s="9">
        <v>12.43</v>
      </c>
      <c r="F163" s="21">
        <v>0.605</v>
      </c>
      <c r="G163" s="47">
        <f t="shared" si="28"/>
        <v>20.5455</v>
      </c>
      <c r="H163" s="47">
        <v>45.31</v>
      </c>
      <c r="I163" s="47">
        <f t="shared" si="29"/>
        <v>-24.7645</v>
      </c>
      <c r="J163" s="19">
        <f t="shared" si="30"/>
        <v>-24.76</v>
      </c>
      <c r="L163" s="9" t="s">
        <v>74</v>
      </c>
      <c r="M163" s="9">
        <v>12.43</v>
      </c>
      <c r="N163" s="48">
        <v>0.605</v>
      </c>
      <c r="O163" s="47">
        <f t="shared" si="31"/>
        <v>20.5455</v>
      </c>
      <c r="P163" s="47">
        <v>19.34</v>
      </c>
      <c r="Q163" s="47">
        <f t="shared" si="32"/>
        <v>1.2055000000000007</v>
      </c>
      <c r="R163" s="19">
        <f t="shared" si="33"/>
        <v>1.21</v>
      </c>
    </row>
    <row r="164" spans="4:18" ht="11.25">
      <c r="D164" s="5" t="s">
        <v>75</v>
      </c>
      <c r="E164" s="9">
        <v>12.45</v>
      </c>
      <c r="F164" s="21">
        <v>0.605</v>
      </c>
      <c r="G164" s="47">
        <f t="shared" si="28"/>
        <v>20.5785</v>
      </c>
      <c r="H164" s="47">
        <v>45.31</v>
      </c>
      <c r="I164" s="47">
        <f t="shared" si="29"/>
        <v>-24.731500000000004</v>
      </c>
      <c r="J164" s="19">
        <f t="shared" si="30"/>
        <v>-24.73</v>
      </c>
      <c r="L164" s="9" t="s">
        <v>75</v>
      </c>
      <c r="M164" s="9">
        <v>12.45</v>
      </c>
      <c r="N164" s="48">
        <v>0.605</v>
      </c>
      <c r="O164" s="47">
        <f t="shared" si="31"/>
        <v>20.5785</v>
      </c>
      <c r="P164" s="47">
        <v>19.34</v>
      </c>
      <c r="Q164" s="47">
        <f t="shared" si="32"/>
        <v>1.2384999999999984</v>
      </c>
      <c r="R164" s="19">
        <f t="shared" si="33"/>
        <v>1.24</v>
      </c>
    </row>
    <row r="165" spans="4:18" ht="11.25">
      <c r="D165" s="5" t="s">
        <v>76</v>
      </c>
      <c r="E165" s="9">
        <v>12.45</v>
      </c>
      <c r="F165" s="21">
        <v>0.605</v>
      </c>
      <c r="G165" s="47">
        <f t="shared" si="28"/>
        <v>20.5785</v>
      </c>
      <c r="H165" s="47">
        <v>45.31</v>
      </c>
      <c r="I165" s="47">
        <f t="shared" si="29"/>
        <v>-24.731500000000004</v>
      </c>
      <c r="J165" s="19">
        <f t="shared" si="30"/>
        <v>-24.73</v>
      </c>
      <c r="L165" s="9" t="s">
        <v>76</v>
      </c>
      <c r="M165" s="9">
        <v>12.45</v>
      </c>
      <c r="N165" s="48">
        <v>0.605</v>
      </c>
      <c r="O165" s="47">
        <f t="shared" si="31"/>
        <v>20.5785</v>
      </c>
      <c r="P165" s="47">
        <v>19.34</v>
      </c>
      <c r="Q165" s="47">
        <f t="shared" si="32"/>
        <v>1.2384999999999984</v>
      </c>
      <c r="R165" s="19">
        <f t="shared" si="33"/>
        <v>1.24</v>
      </c>
    </row>
    <row r="166" spans="4:18" ht="11.25">
      <c r="D166" s="5" t="s">
        <v>77</v>
      </c>
      <c r="E166" s="9">
        <v>12.45</v>
      </c>
      <c r="F166" s="21">
        <v>0.605</v>
      </c>
      <c r="G166" s="47">
        <f t="shared" si="28"/>
        <v>20.5785</v>
      </c>
      <c r="H166" s="47">
        <v>45.31</v>
      </c>
      <c r="I166" s="47">
        <f t="shared" si="29"/>
        <v>-24.731500000000004</v>
      </c>
      <c r="J166" s="19">
        <f t="shared" si="30"/>
        <v>-24.73</v>
      </c>
      <c r="L166" s="9" t="s">
        <v>77</v>
      </c>
      <c r="M166" s="9">
        <v>12.45</v>
      </c>
      <c r="N166" s="48">
        <v>0.605</v>
      </c>
      <c r="O166" s="47">
        <f t="shared" si="31"/>
        <v>20.5785</v>
      </c>
      <c r="P166" s="47">
        <v>19.34</v>
      </c>
      <c r="Q166" s="47">
        <f t="shared" si="32"/>
        <v>1.2384999999999984</v>
      </c>
      <c r="R166" s="19">
        <f t="shared" si="33"/>
        <v>1.24</v>
      </c>
    </row>
    <row r="167" spans="4:18" ht="11.25">
      <c r="D167" s="5" t="s">
        <v>78</v>
      </c>
      <c r="E167" s="9">
        <v>12.48</v>
      </c>
      <c r="F167" s="21">
        <v>0.605</v>
      </c>
      <c r="G167" s="47">
        <f t="shared" si="28"/>
        <v>20.6281</v>
      </c>
      <c r="H167" s="47">
        <v>45.31</v>
      </c>
      <c r="I167" s="47">
        <f t="shared" si="29"/>
        <v>-24.681900000000002</v>
      </c>
      <c r="J167" s="19">
        <f t="shared" si="30"/>
        <v>-24.68</v>
      </c>
      <c r="L167" s="9" t="s">
        <v>78</v>
      </c>
      <c r="M167" s="9">
        <v>12.48</v>
      </c>
      <c r="N167" s="48">
        <v>0.605</v>
      </c>
      <c r="O167" s="47">
        <f t="shared" si="31"/>
        <v>20.6281</v>
      </c>
      <c r="P167" s="47">
        <v>19.34</v>
      </c>
      <c r="Q167" s="47">
        <f t="shared" si="32"/>
        <v>1.2881</v>
      </c>
      <c r="R167" s="19">
        <f t="shared" si="33"/>
        <v>1.29</v>
      </c>
    </row>
    <row r="168" spans="4:18" ht="11.25">
      <c r="D168" s="5" t="s">
        <v>79</v>
      </c>
      <c r="E168" s="9">
        <v>12.48</v>
      </c>
      <c r="F168" s="21">
        <v>0.605</v>
      </c>
      <c r="G168" s="47">
        <f t="shared" si="28"/>
        <v>20.6281</v>
      </c>
      <c r="H168" s="47">
        <v>45.31</v>
      </c>
      <c r="I168" s="47">
        <f t="shared" si="29"/>
        <v>-24.681900000000002</v>
      </c>
      <c r="J168" s="19">
        <f t="shared" si="30"/>
        <v>-24.68</v>
      </c>
      <c r="L168" s="9" t="s">
        <v>79</v>
      </c>
      <c r="M168" s="9">
        <v>12.48</v>
      </c>
      <c r="N168" s="48">
        <v>0.605</v>
      </c>
      <c r="O168" s="47">
        <f t="shared" si="31"/>
        <v>20.6281</v>
      </c>
      <c r="P168" s="47">
        <v>19.34</v>
      </c>
      <c r="Q168" s="47">
        <f t="shared" si="32"/>
        <v>1.2881</v>
      </c>
      <c r="R168" s="19">
        <f t="shared" si="33"/>
        <v>1.29</v>
      </c>
    </row>
    <row r="169" spans="4:18" ht="11.25">
      <c r="D169" s="5" t="s">
        <v>80</v>
      </c>
      <c r="E169" s="9">
        <v>12.49</v>
      </c>
      <c r="F169" s="21">
        <v>0.605</v>
      </c>
      <c r="G169" s="47">
        <f t="shared" si="28"/>
        <v>20.6446</v>
      </c>
      <c r="H169" s="47">
        <v>45.31</v>
      </c>
      <c r="I169" s="47">
        <f t="shared" si="29"/>
        <v>-24.6654</v>
      </c>
      <c r="J169" s="19">
        <f t="shared" si="30"/>
        <v>-24.67</v>
      </c>
      <c r="L169" s="9" t="s">
        <v>80</v>
      </c>
      <c r="M169" s="9">
        <v>12.49</v>
      </c>
      <c r="N169" s="48">
        <v>0.605</v>
      </c>
      <c r="O169" s="47">
        <f t="shared" si="31"/>
        <v>20.6446</v>
      </c>
      <c r="P169" s="47">
        <v>19.34</v>
      </c>
      <c r="Q169" s="47">
        <f t="shared" si="32"/>
        <v>1.3046000000000006</v>
      </c>
      <c r="R169" s="19">
        <f t="shared" si="33"/>
        <v>1.3</v>
      </c>
    </row>
    <row r="170" spans="4:18" ht="11.25">
      <c r="D170" s="5" t="s">
        <v>81</v>
      </c>
      <c r="E170" s="9">
        <v>12.49</v>
      </c>
      <c r="F170" s="21">
        <v>0.605</v>
      </c>
      <c r="G170" s="47">
        <f t="shared" si="28"/>
        <v>20.6446</v>
      </c>
      <c r="H170" s="47">
        <v>45.31</v>
      </c>
      <c r="I170" s="47">
        <f t="shared" si="29"/>
        <v>-24.6654</v>
      </c>
      <c r="J170" s="19">
        <f t="shared" si="30"/>
        <v>-24.67</v>
      </c>
      <c r="L170" s="9" t="s">
        <v>81</v>
      </c>
      <c r="M170" s="9">
        <v>12.49</v>
      </c>
      <c r="N170" s="48">
        <v>0.605</v>
      </c>
      <c r="O170" s="47">
        <f t="shared" si="31"/>
        <v>20.6446</v>
      </c>
      <c r="P170" s="47">
        <v>19.34</v>
      </c>
      <c r="Q170" s="47">
        <f t="shared" si="32"/>
        <v>1.3046000000000006</v>
      </c>
      <c r="R170" s="19">
        <f t="shared" si="33"/>
        <v>1.3</v>
      </c>
    </row>
    <row r="171" spans="4:18" ht="11.25">
      <c r="D171" s="5" t="s">
        <v>82</v>
      </c>
      <c r="E171" s="9">
        <v>12.5</v>
      </c>
      <c r="F171" s="21">
        <v>0.605</v>
      </c>
      <c r="G171" s="47">
        <f t="shared" si="28"/>
        <v>20.6612</v>
      </c>
      <c r="H171" s="47">
        <v>45.31</v>
      </c>
      <c r="I171" s="47">
        <f t="shared" si="29"/>
        <v>-24.6488</v>
      </c>
      <c r="J171" s="19">
        <f t="shared" si="30"/>
        <v>-24.65</v>
      </c>
      <c r="L171" s="9" t="s">
        <v>82</v>
      </c>
      <c r="M171" s="9">
        <v>12.5</v>
      </c>
      <c r="N171" s="48">
        <v>0.605</v>
      </c>
      <c r="O171" s="47">
        <f t="shared" si="31"/>
        <v>20.6612</v>
      </c>
      <c r="P171" s="47">
        <v>19.34</v>
      </c>
      <c r="Q171" s="47">
        <f t="shared" si="32"/>
        <v>1.321200000000001</v>
      </c>
      <c r="R171" s="19">
        <f t="shared" si="33"/>
        <v>1.32</v>
      </c>
    </row>
    <row r="172" spans="4:18" ht="11.25">
      <c r="D172" s="5" t="s">
        <v>83</v>
      </c>
      <c r="E172" s="9">
        <v>12.5</v>
      </c>
      <c r="F172" s="21">
        <v>0.605</v>
      </c>
      <c r="G172" s="47">
        <f t="shared" si="28"/>
        <v>20.6612</v>
      </c>
      <c r="H172" s="47">
        <v>45.31</v>
      </c>
      <c r="I172" s="47">
        <f t="shared" si="29"/>
        <v>-24.6488</v>
      </c>
      <c r="J172" s="19">
        <f t="shared" si="30"/>
        <v>-24.65</v>
      </c>
      <c r="L172" s="9" t="s">
        <v>83</v>
      </c>
      <c r="M172" s="9">
        <v>12.5</v>
      </c>
      <c r="N172" s="48">
        <v>0.605</v>
      </c>
      <c r="O172" s="47">
        <f t="shared" si="31"/>
        <v>20.6612</v>
      </c>
      <c r="P172" s="47">
        <v>19.34</v>
      </c>
      <c r="Q172" s="47">
        <f t="shared" si="32"/>
        <v>1.321200000000001</v>
      </c>
      <c r="R172" s="19">
        <f t="shared" si="33"/>
        <v>1.32</v>
      </c>
    </row>
    <row r="173" spans="3:11" ht="11.25">
      <c r="C173" s="5" t="s">
        <v>63</v>
      </c>
      <c r="K173" s="5" t="s">
        <v>63</v>
      </c>
    </row>
    <row r="178" ht="11.25">
      <c r="D178" s="1"/>
    </row>
    <row r="179" spans="4:5" ht="11.25">
      <c r="D179" s="2"/>
      <c r="E179" s="3"/>
    </row>
    <row r="181" spans="1:18" ht="11.25">
      <c r="A181" s="13" t="s">
        <v>0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11.25">
      <c r="A182" s="13" t="s">
        <v>1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11.25">
      <c r="A183" s="13" t="s">
        <v>88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ht="11.25">
      <c r="A184" s="13" t="str">
        <f>Summary!$A$4</f>
        <v>Forecast 2001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ht="11.25">
      <c r="A185" s="4"/>
    </row>
    <row r="187" spans="6:18" ht="11.25">
      <c r="F187" s="22" t="s">
        <v>3</v>
      </c>
      <c r="G187" s="22" t="s">
        <v>4</v>
      </c>
      <c r="H187" s="22" t="s">
        <v>5</v>
      </c>
      <c r="I187" s="22" t="s">
        <v>6</v>
      </c>
      <c r="J187" s="22" t="s">
        <v>7</v>
      </c>
      <c r="K187" s="22" t="s">
        <v>8</v>
      </c>
      <c r="L187" s="22" t="s">
        <v>9</v>
      </c>
      <c r="M187" s="22" t="s">
        <v>10</v>
      </c>
      <c r="N187" s="22" t="s">
        <v>11</v>
      </c>
      <c r="O187" s="22" t="s">
        <v>12</v>
      </c>
      <c r="P187" s="22" t="s">
        <v>13</v>
      </c>
      <c r="Q187" s="22" t="s">
        <v>14</v>
      </c>
      <c r="R187" s="22" t="s">
        <v>64</v>
      </c>
    </row>
    <row r="189" spans="1:17" ht="11.25">
      <c r="A189" s="15" t="s">
        <v>50</v>
      </c>
      <c r="B189" s="15"/>
      <c r="C189" s="15"/>
      <c r="F189" s="50">
        <v>-0.00175</v>
      </c>
      <c r="G189" s="50">
        <v>-0.00175</v>
      </c>
      <c r="H189" s="50">
        <v>-0.00175</v>
      </c>
      <c r="I189" s="50">
        <v>-0.00175</v>
      </c>
      <c r="J189" s="50">
        <v>-0.00175</v>
      </c>
      <c r="K189" s="50">
        <v>-0.00175</v>
      </c>
      <c r="L189" s="50">
        <v>-0.00177</v>
      </c>
      <c r="M189" s="50">
        <v>-0.00177</v>
      </c>
      <c r="N189" s="50">
        <v>-0.00177</v>
      </c>
      <c r="O189" s="50">
        <v>-0.00177</v>
      </c>
      <c r="P189" s="50">
        <v>-0.00177</v>
      </c>
      <c r="Q189" s="50">
        <v>-0.00177</v>
      </c>
    </row>
    <row r="190" spans="1:3" ht="11.25">
      <c r="A190" s="15"/>
      <c r="B190" s="15" t="s">
        <v>51</v>
      </c>
      <c r="C190" s="15"/>
    </row>
    <row r="191" spans="3:18" ht="11.25">
      <c r="C191" s="5" t="s">
        <v>53</v>
      </c>
      <c r="F191" s="19">
        <f>ROUND(F11*F189,2)</f>
        <v>-924875</v>
      </c>
      <c r="G191" s="19">
        <f aca="true" t="shared" si="34" ref="G191:Q191">ROUND(G11*G189,2)</f>
        <v>-817075</v>
      </c>
      <c r="H191" s="19">
        <f t="shared" si="34"/>
        <v>-825825</v>
      </c>
      <c r="I191" s="19">
        <f t="shared" si="34"/>
        <v>-663600</v>
      </c>
      <c r="J191" s="19">
        <f t="shared" si="34"/>
        <v>-570150</v>
      </c>
      <c r="K191" s="19">
        <f t="shared" si="34"/>
        <v>-472850</v>
      </c>
      <c r="L191" s="19">
        <f t="shared" si="34"/>
        <v>-441438</v>
      </c>
      <c r="M191" s="19">
        <f t="shared" si="34"/>
        <v>-431526</v>
      </c>
      <c r="N191" s="19">
        <f t="shared" si="34"/>
        <v>-464094</v>
      </c>
      <c r="O191" s="19">
        <f t="shared" si="34"/>
        <v>-576312</v>
      </c>
      <c r="P191" s="19">
        <f t="shared" si="34"/>
        <v>-689415</v>
      </c>
      <c r="Q191" s="19">
        <f t="shared" si="34"/>
        <v>-860928</v>
      </c>
      <c r="R191" s="19">
        <f>SUM(F191:Q191)</f>
        <v>-7738088</v>
      </c>
    </row>
    <row r="192" spans="1:18" ht="11.25">
      <c r="A192" s="15" t="s">
        <v>52</v>
      </c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1.25">
      <c r="A193" s="15"/>
      <c r="B193" s="15" t="s">
        <v>51</v>
      </c>
      <c r="F193" s="19" t="s">
        <v>63</v>
      </c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3:18" ht="11.25">
      <c r="C194" s="5" t="s">
        <v>53</v>
      </c>
      <c r="F194" s="49">
        <f>ROUND(F36*F189,2)</f>
        <v>0</v>
      </c>
      <c r="G194" s="49">
        <f aca="true" t="shared" si="35" ref="G194:Q194">ROUND(G36*G189,2)</f>
        <v>0</v>
      </c>
      <c r="H194" s="49">
        <f t="shared" si="35"/>
        <v>0</v>
      </c>
      <c r="I194" s="49">
        <f t="shared" si="35"/>
        <v>0</v>
      </c>
      <c r="J194" s="49">
        <f t="shared" si="35"/>
        <v>0</v>
      </c>
      <c r="K194" s="49">
        <f t="shared" si="35"/>
        <v>0</v>
      </c>
      <c r="L194" s="49">
        <f t="shared" si="35"/>
        <v>0</v>
      </c>
      <c r="M194" s="49">
        <f t="shared" si="35"/>
        <v>0</v>
      </c>
      <c r="N194" s="49">
        <f t="shared" si="35"/>
        <v>0</v>
      </c>
      <c r="O194" s="49">
        <f t="shared" si="35"/>
        <v>0</v>
      </c>
      <c r="P194" s="49">
        <f t="shared" si="35"/>
        <v>0</v>
      </c>
      <c r="Q194" s="49">
        <f t="shared" si="35"/>
        <v>0</v>
      </c>
      <c r="R194" s="49">
        <f>SUM(F194:Q194)</f>
        <v>0</v>
      </c>
    </row>
    <row r="195" spans="4:18" ht="11.25">
      <c r="D195" s="5" t="s">
        <v>108</v>
      </c>
      <c r="F195" s="19">
        <v>0</v>
      </c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>
        <f>SUM(F195:Q195)</f>
        <v>0</v>
      </c>
    </row>
    <row r="196" spans="6:18" ht="11.25">
      <c r="F196" s="31">
        <f>SUM(F191:F195)</f>
        <v>-924875</v>
      </c>
      <c r="G196" s="31">
        <f aca="true" t="shared" si="36" ref="G196:Q196">SUM(G191:G195)</f>
        <v>-817075</v>
      </c>
      <c r="H196" s="31">
        <f t="shared" si="36"/>
        <v>-825825</v>
      </c>
      <c r="I196" s="31">
        <f t="shared" si="36"/>
        <v>-663600</v>
      </c>
      <c r="J196" s="31">
        <f t="shared" si="36"/>
        <v>-570150</v>
      </c>
      <c r="K196" s="31">
        <f t="shared" si="36"/>
        <v>-472850</v>
      </c>
      <c r="L196" s="31">
        <f t="shared" si="36"/>
        <v>-441438</v>
      </c>
      <c r="M196" s="31">
        <f t="shared" si="36"/>
        <v>-431526</v>
      </c>
      <c r="N196" s="31">
        <f t="shared" si="36"/>
        <v>-464094</v>
      </c>
      <c r="O196" s="31">
        <f t="shared" si="36"/>
        <v>-576312</v>
      </c>
      <c r="P196" s="31">
        <f t="shared" si="36"/>
        <v>-689415</v>
      </c>
      <c r="Q196" s="31">
        <f t="shared" si="36"/>
        <v>-860928</v>
      </c>
      <c r="R196" s="31">
        <f>SUM(F196:Q196)</f>
        <v>-7738088</v>
      </c>
    </row>
    <row r="197" ht="11.25">
      <c r="R197" s="8"/>
    </row>
    <row r="198" spans="1:18" ht="11.25">
      <c r="A198" s="15" t="s">
        <v>50</v>
      </c>
      <c r="R198" s="8"/>
    </row>
    <row r="199" spans="2:18" ht="11.25">
      <c r="B199" s="15" t="s">
        <v>84</v>
      </c>
      <c r="F199" s="50">
        <v>-0.0028</v>
      </c>
      <c r="G199" s="50">
        <v>-0.0028</v>
      </c>
      <c r="H199" s="50">
        <v>-0.0028</v>
      </c>
      <c r="I199" s="50">
        <v>-0.0028</v>
      </c>
      <c r="J199" s="50">
        <v>-0.0028</v>
      </c>
      <c r="K199" s="50">
        <v>-0.0028</v>
      </c>
      <c r="L199" s="50">
        <v>-0.0028</v>
      </c>
      <c r="M199" s="50">
        <v>-0.0028</v>
      </c>
      <c r="N199" s="50">
        <v>-0.0028</v>
      </c>
      <c r="O199" s="50">
        <v>-0.0028</v>
      </c>
      <c r="P199" s="50">
        <v>-0.0028</v>
      </c>
      <c r="Q199" s="50">
        <v>-0.0028</v>
      </c>
      <c r="R199" s="8"/>
    </row>
    <row r="200" spans="3:18" ht="11.25">
      <c r="C200" s="5" t="s">
        <v>54</v>
      </c>
      <c r="R200" s="8"/>
    </row>
    <row r="201" spans="4:18" ht="11.25">
      <c r="D201" s="20" t="s">
        <v>55</v>
      </c>
      <c r="F201" s="19">
        <f>ROUND(F18*F199,2)</f>
        <v>-35000</v>
      </c>
      <c r="G201" s="19">
        <f aca="true" t="shared" si="37" ref="G201:Q201">ROUND(G18*G199,2)</f>
        <v>-31612</v>
      </c>
      <c r="H201" s="19">
        <f t="shared" si="37"/>
        <v>-35000</v>
      </c>
      <c r="I201" s="19">
        <f t="shared" si="37"/>
        <v>-34664</v>
      </c>
      <c r="J201" s="19">
        <f t="shared" si="37"/>
        <v>-35840</v>
      </c>
      <c r="K201" s="19">
        <f t="shared" si="37"/>
        <v>-28224</v>
      </c>
      <c r="L201" s="19">
        <f t="shared" si="37"/>
        <v>-32508</v>
      </c>
      <c r="M201" s="19">
        <f t="shared" si="37"/>
        <v>-34160</v>
      </c>
      <c r="N201" s="19">
        <f t="shared" si="37"/>
        <v>-31976</v>
      </c>
      <c r="O201" s="19">
        <f t="shared" si="37"/>
        <v>-32508</v>
      </c>
      <c r="P201" s="19">
        <f t="shared" si="37"/>
        <v>-31444</v>
      </c>
      <c r="Q201" s="19">
        <f t="shared" si="37"/>
        <v>-32648</v>
      </c>
      <c r="R201" s="19">
        <f>SUM(F201:Q201)</f>
        <v>-395584</v>
      </c>
    </row>
    <row r="202" spans="4:18" ht="11.25">
      <c r="D202" s="20" t="s">
        <v>56</v>
      </c>
      <c r="F202" s="19">
        <f>ROUND(F19*$F$199,2)</f>
        <v>-812</v>
      </c>
      <c r="G202" s="19">
        <f>ROUND(G19*$G$199,2)</f>
        <v>-728</v>
      </c>
      <c r="H202" s="19">
        <f>ROUND(H19*$H$199,2)</f>
        <v>-812</v>
      </c>
      <c r="I202" s="19">
        <f>ROUND(I19*$I$199,2)</f>
        <v>-1680</v>
      </c>
      <c r="J202" s="19">
        <f>ROUND(J19*$J$199,2)</f>
        <v>-1148</v>
      </c>
      <c r="K202" s="19">
        <f>ROUND(K19*$K$199,2)</f>
        <v>-756</v>
      </c>
      <c r="L202" s="19">
        <f>ROUND(L19*$L$199,2)</f>
        <v>-1372</v>
      </c>
      <c r="M202" s="19">
        <f>ROUND(M19*$M$199,2)</f>
        <v>-1372</v>
      </c>
      <c r="N202" s="19">
        <f>ROUND(N19*$N$199,2)</f>
        <v>-868</v>
      </c>
      <c r="O202" s="19">
        <f>ROUND(O19*$O$199,2)</f>
        <v>-1372</v>
      </c>
      <c r="P202" s="19">
        <f>ROUND(P19*$P$199,2)</f>
        <v>-1316</v>
      </c>
      <c r="Q202" s="19">
        <f>ROUND(Q19*$Q$199,2)</f>
        <v>-1792</v>
      </c>
      <c r="R202" s="19">
        <f>SUM(F202:Q202)</f>
        <v>-14028</v>
      </c>
    </row>
    <row r="203" spans="6:18" ht="11.25">
      <c r="F203" s="30">
        <f aca="true" t="shared" si="38" ref="F203:Q203">SUM(F201:F202)</f>
        <v>-35812</v>
      </c>
      <c r="G203" s="30">
        <f t="shared" si="38"/>
        <v>-32340</v>
      </c>
      <c r="H203" s="30">
        <f t="shared" si="38"/>
        <v>-35812</v>
      </c>
      <c r="I203" s="30">
        <f t="shared" si="38"/>
        <v>-36344</v>
      </c>
      <c r="J203" s="30">
        <f t="shared" si="38"/>
        <v>-36988</v>
      </c>
      <c r="K203" s="30">
        <f t="shared" si="38"/>
        <v>-28980</v>
      </c>
      <c r="L203" s="30">
        <f t="shared" si="38"/>
        <v>-33880</v>
      </c>
      <c r="M203" s="30">
        <f t="shared" si="38"/>
        <v>-35532</v>
      </c>
      <c r="N203" s="30">
        <f t="shared" si="38"/>
        <v>-32844</v>
      </c>
      <c r="O203" s="30">
        <f t="shared" si="38"/>
        <v>-33880</v>
      </c>
      <c r="P203" s="30">
        <f t="shared" si="38"/>
        <v>-32760</v>
      </c>
      <c r="Q203" s="30">
        <f t="shared" si="38"/>
        <v>-34440</v>
      </c>
      <c r="R203" s="30">
        <f>SUM(F203:Q203)</f>
        <v>-409612</v>
      </c>
    </row>
    <row r="204" spans="6:18" ht="11.25"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3:18" ht="11.25">
      <c r="C205" s="5" t="s">
        <v>57</v>
      </c>
      <c r="F205" s="19">
        <f aca="true" t="shared" si="39" ref="F205:F210">ROUND(F22*$F$199,2)</f>
        <v>-132006</v>
      </c>
      <c r="G205" s="19">
        <f aca="true" t="shared" si="40" ref="G205:G210">ROUND(G22*$G$199,2)</f>
        <v>-123205.6</v>
      </c>
      <c r="H205" s="19">
        <f aca="true" t="shared" si="41" ref="H205:H210">ROUND(H22*$H$199,2)</f>
        <v>-136407.6</v>
      </c>
      <c r="I205" s="19">
        <f aca="true" t="shared" si="42" ref="I205:I210">ROUND(I22*$I$199,2)</f>
        <v>-132006</v>
      </c>
      <c r="J205" s="19">
        <f aca="true" t="shared" si="43" ref="J205:J210">ROUND(J22*$J$199,2)</f>
        <v>-114408</v>
      </c>
      <c r="K205" s="19">
        <f aca="true" t="shared" si="44" ref="K205:K210">ROUND(K22*$K$199,2)</f>
        <v>-132006</v>
      </c>
      <c r="L205" s="19">
        <f aca="true" t="shared" si="45" ref="L205:L210">ROUND(L22*$L$199,2)</f>
        <v>-136407.6</v>
      </c>
      <c r="M205" s="19">
        <f aca="true" t="shared" si="46" ref="M205:M210">ROUND(M22*$M$199,2)</f>
        <v>-136407.6</v>
      </c>
      <c r="N205" s="19">
        <f aca="true" t="shared" si="47" ref="N205:N210">ROUND(N22*$N$199,2)</f>
        <v>-127607.2</v>
      </c>
      <c r="O205" s="19">
        <f aca="true" t="shared" si="48" ref="O205:O210">ROUND(O22*$O$199,2)</f>
        <v>-136407.6</v>
      </c>
      <c r="P205" s="19">
        <f aca="true" t="shared" si="49" ref="P205:P210">ROUND(P22*$P$199,2)</f>
        <v>-132006</v>
      </c>
      <c r="Q205" s="19">
        <f aca="true" t="shared" si="50" ref="Q205:Q210">ROUND(Q22*$Q$199,2)</f>
        <v>-129206</v>
      </c>
      <c r="R205" s="19">
        <f aca="true" t="shared" si="51" ref="R205:R210">SUM(F205:Q205)</f>
        <v>-1568081.2</v>
      </c>
    </row>
    <row r="206" spans="3:18" ht="11.25">
      <c r="C206" s="5" t="s">
        <v>58</v>
      </c>
      <c r="F206" s="19">
        <f t="shared" si="39"/>
        <v>-3472</v>
      </c>
      <c r="G206" s="19">
        <f t="shared" si="40"/>
        <v>-3696</v>
      </c>
      <c r="H206" s="19">
        <f t="shared" si="41"/>
        <v>-4088</v>
      </c>
      <c r="I206" s="19">
        <f t="shared" si="42"/>
        <v>-3948</v>
      </c>
      <c r="J206" s="19">
        <f t="shared" si="43"/>
        <v>-4088</v>
      </c>
      <c r="K206" s="19">
        <f t="shared" si="44"/>
        <v>-3948</v>
      </c>
      <c r="L206" s="19">
        <f t="shared" si="45"/>
        <v>-4088</v>
      </c>
      <c r="M206" s="19">
        <f t="shared" si="46"/>
        <v>-4088</v>
      </c>
      <c r="N206" s="19">
        <f t="shared" si="47"/>
        <v>-3948</v>
      </c>
      <c r="O206" s="19">
        <f t="shared" si="48"/>
        <v>-3808</v>
      </c>
      <c r="P206" s="19">
        <f t="shared" si="49"/>
        <v>-3948</v>
      </c>
      <c r="Q206" s="19">
        <f t="shared" si="50"/>
        <v>-4088</v>
      </c>
      <c r="R206" s="19">
        <f t="shared" si="51"/>
        <v>-47208</v>
      </c>
    </row>
    <row r="207" spans="3:18" ht="11.25">
      <c r="C207" s="5" t="s">
        <v>59</v>
      </c>
      <c r="F207" s="19">
        <f t="shared" si="39"/>
        <v>-82712</v>
      </c>
      <c r="G207" s="19">
        <f t="shared" si="40"/>
        <v>-87360</v>
      </c>
      <c r="H207" s="19">
        <f t="shared" si="41"/>
        <v>-96880</v>
      </c>
      <c r="I207" s="19">
        <f t="shared" si="42"/>
        <v>-88802</v>
      </c>
      <c r="J207" s="19">
        <f t="shared" si="43"/>
        <v>-85761.2</v>
      </c>
      <c r="K207" s="19">
        <f t="shared" si="44"/>
        <v>-82989.2</v>
      </c>
      <c r="L207" s="19">
        <f t="shared" si="45"/>
        <v>-94273.2</v>
      </c>
      <c r="M207" s="19">
        <f t="shared" si="46"/>
        <v>-94273.2</v>
      </c>
      <c r="N207" s="19">
        <f t="shared" si="47"/>
        <v>-95816</v>
      </c>
      <c r="O207" s="19">
        <f t="shared" si="48"/>
        <v>-97529.6</v>
      </c>
      <c r="P207" s="19">
        <f t="shared" si="49"/>
        <v>-91249.2</v>
      </c>
      <c r="Q207" s="19">
        <f t="shared" si="50"/>
        <v>-94273.2</v>
      </c>
      <c r="R207" s="19">
        <f t="shared" si="51"/>
        <v>-1091918.7999999998</v>
      </c>
    </row>
    <row r="208" spans="3:18" ht="11.25">
      <c r="C208" s="5" t="s">
        <v>60</v>
      </c>
      <c r="F208" s="19">
        <f t="shared" si="39"/>
        <v>0</v>
      </c>
      <c r="G208" s="19">
        <f t="shared" si="40"/>
        <v>0</v>
      </c>
      <c r="H208" s="19">
        <f t="shared" si="41"/>
        <v>0</v>
      </c>
      <c r="I208" s="19">
        <f t="shared" si="42"/>
        <v>0</v>
      </c>
      <c r="J208" s="19">
        <f t="shared" si="43"/>
        <v>0</v>
      </c>
      <c r="K208" s="19">
        <f t="shared" si="44"/>
        <v>0</v>
      </c>
      <c r="L208" s="19">
        <f t="shared" si="45"/>
        <v>0</v>
      </c>
      <c r="M208" s="19">
        <f t="shared" si="46"/>
        <v>0</v>
      </c>
      <c r="N208" s="19">
        <f t="shared" si="47"/>
        <v>0</v>
      </c>
      <c r="O208" s="19">
        <f t="shared" si="48"/>
        <v>0</v>
      </c>
      <c r="P208" s="19">
        <f t="shared" si="49"/>
        <v>0</v>
      </c>
      <c r="Q208" s="19">
        <f t="shared" si="50"/>
        <v>0</v>
      </c>
      <c r="R208" s="19">
        <f t="shared" si="51"/>
        <v>0</v>
      </c>
    </row>
    <row r="209" spans="3:18" ht="11.25">
      <c r="C209" s="5" t="s">
        <v>61</v>
      </c>
      <c r="F209" s="19">
        <f t="shared" si="39"/>
        <v>-57400</v>
      </c>
      <c r="G209" s="19">
        <f t="shared" si="40"/>
        <v>-57120</v>
      </c>
      <c r="H209" s="19">
        <f t="shared" si="41"/>
        <v>-56560</v>
      </c>
      <c r="I209" s="19">
        <f t="shared" si="42"/>
        <v>-55720</v>
      </c>
      <c r="J209" s="19">
        <f t="shared" si="43"/>
        <v>-35000</v>
      </c>
      <c r="K209" s="19">
        <f t="shared" si="44"/>
        <v>-55720</v>
      </c>
      <c r="L209" s="19">
        <f t="shared" si="45"/>
        <v>-55160</v>
      </c>
      <c r="M209" s="19">
        <f t="shared" si="46"/>
        <v>-55160</v>
      </c>
      <c r="N209" s="19">
        <f t="shared" si="47"/>
        <v>-55720</v>
      </c>
      <c r="O209" s="19">
        <f t="shared" si="48"/>
        <v>-56840</v>
      </c>
      <c r="P209" s="19">
        <f t="shared" si="49"/>
        <v>-56560</v>
      </c>
      <c r="Q209" s="19">
        <f t="shared" si="50"/>
        <v>-57120</v>
      </c>
      <c r="R209" s="19">
        <f t="shared" si="51"/>
        <v>-654080</v>
      </c>
    </row>
    <row r="210" spans="3:18" ht="11.25">
      <c r="C210" s="5" t="s">
        <v>62</v>
      </c>
      <c r="F210" s="19">
        <f t="shared" si="39"/>
        <v>0</v>
      </c>
      <c r="G210" s="19">
        <f t="shared" si="40"/>
        <v>0</v>
      </c>
      <c r="H210" s="19">
        <f t="shared" si="41"/>
        <v>0</v>
      </c>
      <c r="I210" s="19">
        <f t="shared" si="42"/>
        <v>0</v>
      </c>
      <c r="J210" s="19">
        <f t="shared" si="43"/>
        <v>0</v>
      </c>
      <c r="K210" s="19">
        <f t="shared" si="44"/>
        <v>0</v>
      </c>
      <c r="L210" s="19">
        <f t="shared" si="45"/>
        <v>0</v>
      </c>
      <c r="M210" s="19">
        <f t="shared" si="46"/>
        <v>0</v>
      </c>
      <c r="N210" s="19">
        <f t="shared" si="47"/>
        <v>0</v>
      </c>
      <c r="O210" s="19">
        <f t="shared" si="48"/>
        <v>0</v>
      </c>
      <c r="P210" s="19">
        <f t="shared" si="49"/>
        <v>0</v>
      </c>
      <c r="Q210" s="19">
        <f t="shared" si="50"/>
        <v>0</v>
      </c>
      <c r="R210" s="19">
        <f t="shared" si="51"/>
        <v>0</v>
      </c>
    </row>
    <row r="211" spans="4:18" ht="11.25">
      <c r="D211" s="5" t="s">
        <v>63</v>
      </c>
      <c r="F211" s="19" t="s">
        <v>63</v>
      </c>
      <c r="G211" s="19" t="s">
        <v>63</v>
      </c>
      <c r="H211" s="19" t="s">
        <v>63</v>
      </c>
      <c r="I211" s="19" t="s">
        <v>63</v>
      </c>
      <c r="J211" s="19" t="s">
        <v>63</v>
      </c>
      <c r="K211" s="19" t="s">
        <v>63</v>
      </c>
      <c r="L211" s="19" t="s">
        <v>63</v>
      </c>
      <c r="M211" s="19" t="s">
        <v>63</v>
      </c>
      <c r="N211" s="19" t="s">
        <v>63</v>
      </c>
      <c r="O211" s="19" t="s">
        <v>63</v>
      </c>
      <c r="P211" s="19" t="s">
        <v>63</v>
      </c>
      <c r="Q211" s="19" t="s">
        <v>63</v>
      </c>
      <c r="R211" s="19" t="s">
        <v>63</v>
      </c>
    </row>
    <row r="212" spans="6:18" ht="11.25">
      <c r="F212" s="31">
        <f aca="true" t="shared" si="52" ref="F212:Q212">SUM(F203:F211)</f>
        <v>-311402</v>
      </c>
      <c r="G212" s="31">
        <f t="shared" si="52"/>
        <v>-303721.6</v>
      </c>
      <c r="H212" s="31">
        <f t="shared" si="52"/>
        <v>-329747.6</v>
      </c>
      <c r="I212" s="31">
        <f t="shared" si="52"/>
        <v>-316820</v>
      </c>
      <c r="J212" s="31">
        <f t="shared" si="52"/>
        <v>-276245.2</v>
      </c>
      <c r="K212" s="31">
        <f t="shared" si="52"/>
        <v>-303643.2</v>
      </c>
      <c r="L212" s="31">
        <f t="shared" si="52"/>
        <v>-323808.8</v>
      </c>
      <c r="M212" s="31">
        <f t="shared" si="52"/>
        <v>-325460.8</v>
      </c>
      <c r="N212" s="31">
        <f t="shared" si="52"/>
        <v>-315935.2</v>
      </c>
      <c r="O212" s="31">
        <f t="shared" si="52"/>
        <v>-328465.2</v>
      </c>
      <c r="P212" s="31">
        <f t="shared" si="52"/>
        <v>-316523.2</v>
      </c>
      <c r="Q212" s="31">
        <f t="shared" si="52"/>
        <v>-319127.2</v>
      </c>
      <c r="R212" s="31">
        <f>SUM(F212:Q212)</f>
        <v>-3770900.0000000005</v>
      </c>
    </row>
    <row r="213" spans="6:18" ht="11.25"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6:18" ht="12" thickBot="1">
      <c r="F214" s="32">
        <f>+F196+F212</f>
        <v>-1236277</v>
      </c>
      <c r="G214" s="32">
        <f aca="true" t="shared" si="53" ref="G214:Q214">+G196+G212</f>
        <v>-1120796.6</v>
      </c>
      <c r="H214" s="32">
        <f t="shared" si="53"/>
        <v>-1155572.6</v>
      </c>
      <c r="I214" s="32">
        <f t="shared" si="53"/>
        <v>-980420</v>
      </c>
      <c r="J214" s="32">
        <f t="shared" si="53"/>
        <v>-846395.2</v>
      </c>
      <c r="K214" s="32">
        <f t="shared" si="53"/>
        <v>-776493.2</v>
      </c>
      <c r="L214" s="32">
        <f t="shared" si="53"/>
        <v>-765246.8</v>
      </c>
      <c r="M214" s="32">
        <f t="shared" si="53"/>
        <v>-756986.8</v>
      </c>
      <c r="N214" s="32">
        <f t="shared" si="53"/>
        <v>-780029.2</v>
      </c>
      <c r="O214" s="32">
        <f t="shared" si="53"/>
        <v>-904777.2</v>
      </c>
      <c r="P214" s="32">
        <f t="shared" si="53"/>
        <v>-1005938.2</v>
      </c>
      <c r="Q214" s="32">
        <f t="shared" si="53"/>
        <v>-1180055.2</v>
      </c>
      <c r="R214" s="32">
        <f>SUM(F214:Q214)</f>
        <v>-11508987.999999998</v>
      </c>
    </row>
    <row r="215" spans="6:18" ht="12" thickTop="1"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ht="11.25">
      <c r="R216" s="8"/>
    </row>
    <row r="217" spans="2:18" ht="11.25">
      <c r="B217" s="15"/>
      <c r="R217" s="8"/>
    </row>
    <row r="218" spans="1:18" ht="11.25">
      <c r="A218" s="15"/>
      <c r="R218" s="8"/>
    </row>
    <row r="220" spans="4:18" ht="11.25">
      <c r="D220" s="1"/>
      <c r="R220" s="8"/>
    </row>
    <row r="221" spans="4:5" ht="11.25">
      <c r="D221" s="2"/>
      <c r="E221" s="3"/>
    </row>
  </sheetData>
  <printOptions verticalCentered="1"/>
  <pageMargins left="0.5" right="0.5" top="1" bottom="1" header="0.5" footer="0.5"/>
  <pageSetup horizontalDpi="600" verticalDpi="600" orientation="landscape" scale="65" r:id="rId1"/>
  <rowBreaks count="4" manualBreakCount="4">
    <brk id="45" max="255" man="1"/>
    <brk id="90" max="255" man="1"/>
    <brk id="135" max="255" man="1"/>
    <brk id="1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Newfoundland &amp; Labrador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Newfoundland and Labrador Hydro</dc:creator>
  <cp:keywords/>
  <dc:description/>
  <cp:lastModifiedBy>Nfld. and Labrador Hydro</cp:lastModifiedBy>
  <cp:lastPrinted>2001-08-24T14:17:55Z</cp:lastPrinted>
  <dcterms:created xsi:type="dcterms:W3CDTF">2000-06-16T17:15:01Z</dcterms:created>
  <dcterms:modified xsi:type="dcterms:W3CDTF">2001-08-24T16:12:03Z</dcterms:modified>
  <cp:category/>
  <cp:version/>
  <cp:contentType/>
  <cp:contentStatus/>
</cp:coreProperties>
</file>